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autoCompressPictures="0"/>
  <xr:revisionPtr revIDLastSave="0" documentId="13_ncr:1_{5A278063-B5E4-42D7-8D6F-0AB526A5DDD6}" xr6:coauthVersionLast="46" xr6:coauthVersionMax="46" xr10:uidLastSave="{00000000-0000-0000-0000-000000000000}"/>
  <bookViews>
    <workbookView xWindow="-120" yWindow="-120" windowWidth="25440" windowHeight="15390" tabRatio="741" xr2:uid="{00000000-000D-0000-FFFF-FFFF00000000}"/>
  </bookViews>
  <sheets>
    <sheet name="Janvier" sheetId="1" r:id="rId1"/>
    <sheet name="Février" sheetId="6" r:id="rId2"/>
    <sheet name="Mars" sheetId="7" r:id="rId3"/>
    <sheet name="Avril" sheetId="8" r:id="rId4"/>
    <sheet name="Mai" sheetId="9" r:id="rId5"/>
    <sheet name="Juin" sheetId="10" r:id="rId6"/>
    <sheet name="Juillet" sheetId="11" r:id="rId7"/>
    <sheet name="Août" sheetId="12" r:id="rId8"/>
    <sheet name="Septembre" sheetId="13" r:id="rId9"/>
    <sheet name="Octobre" sheetId="14" r:id="rId10"/>
    <sheet name="Novembre" sheetId="15" r:id="rId11"/>
    <sheet name="Décembre" sheetId="16" r:id="rId12"/>
  </sheets>
  <definedNames>
    <definedName name="Annéecivile">Janvier!$N$2</definedName>
    <definedName name="AprSun1">DATE(Annéecivile,4,1)-WEEKDAY(DATE(Annéecivile,4,1))+1</definedName>
    <definedName name="AugSun1">DATE(Annéecivile,8,1)-WEEKDAY(DATE(Annéecivile,8,1))+1</definedName>
    <definedName name="DecSun1">DATE(Annéecivile,12,1)-WEEKDAY(DATE(Annéecivile,12,1))+1</definedName>
    <definedName name="FebSun1">DATE(Annéecivile,2,1)-WEEKDAY(DATE(Annéecivile,2,1))+1</definedName>
    <definedName name="ImportantesdetableDates" localSheetId="7">Août!$L$4:$M$8</definedName>
    <definedName name="ImportantesdetableDates" localSheetId="3">Avril!$L$4:$M$8</definedName>
    <definedName name="ImportantesdetableDates" localSheetId="11">Décembre!$L$4:$M$8</definedName>
    <definedName name="ImportantesdetableDates" localSheetId="1">Février!$L$4:$M$8</definedName>
    <definedName name="ImportantesdetableDates" localSheetId="6">Juillet!$L$4:$M$8</definedName>
    <definedName name="ImportantesdetableDates" localSheetId="5">Juin!$L$4:$M$8</definedName>
    <definedName name="ImportantesdetableDates" localSheetId="4">Mai!$L$4:$M$8</definedName>
    <definedName name="ImportantesdetableDates" localSheetId="2">Mars!$L$4:$M$8</definedName>
    <definedName name="ImportantesdetableDates" localSheetId="10">Novembre!$L$4:$M$8</definedName>
    <definedName name="ImportantesdetableDates" localSheetId="9">Octobre!$L$4:$M$8</definedName>
    <definedName name="ImportantesdetableDates" localSheetId="8">Septembre!$L$4:$M$8</definedName>
    <definedName name="ImportantesdetableDates">Janvier!$L$4:$M$8</definedName>
    <definedName name="JanSun1">DATE(Annéecivile,1,1)-WEEKDAY(DATE(Annéecivile,1,1))+1</definedName>
    <definedName name="joursdeaffectation" localSheetId="7">Août!$L$4:$L$33</definedName>
    <definedName name="joursdeaffectation" localSheetId="3">Avril!$L$4:$L$33</definedName>
    <definedName name="joursdeaffectation" localSheetId="11">Décembre!$L$4:$L$33</definedName>
    <definedName name="joursdeaffectation" localSheetId="1">Février!$L$4:$L$33</definedName>
    <definedName name="joursdeaffectation" localSheetId="6">Juillet!$L$4:$L$33</definedName>
    <definedName name="joursdeaffectation" localSheetId="5">Juin!$L$4:$L$33</definedName>
    <definedName name="joursdeaffectation" localSheetId="4">Mai!$L$4:$L$33</definedName>
    <definedName name="joursdeaffectation" localSheetId="2">Mars!$L$4:$L$33</definedName>
    <definedName name="joursdeaffectation" localSheetId="10">Novembre!$L$4:$L$33</definedName>
    <definedName name="joursdeaffectation" localSheetId="9">Octobre!$L$4:$L$33</definedName>
    <definedName name="joursdeaffectation" localSheetId="8">Septembre!$L$4:$L$33</definedName>
    <definedName name="joursdeaffectation">Janvier!$L$4:$L$33</definedName>
    <definedName name="JulSun1">DATE(Annéecivile,7,1)-WEEKDAY(DATE(Annéecivile,7,1))+1</definedName>
    <definedName name="JunSun1">DATE(Annéecivile,6,1)-WEEKDAY(DATE(Annéecivile,6,1))+1</definedName>
    <definedName name="MarSun1">DATE(Annéecivile,3,1)-WEEKDAY(DATE(Annéecivile,3,1))+1</definedName>
    <definedName name="MaySun1">DATE(Annéecivile,5,1)-WEEKDAY(DATE(Annéecivile,5,1))+1</definedName>
    <definedName name="NovSun1">DATE(Annéecivile,11,1)-WEEKDAY(DATE(Annéecivile,11,1))+1</definedName>
    <definedName name="OctSun1">DATE(Annéecivile,10,1)-WEEKDAY(DATE(Annéecivile,10,1))+1</definedName>
    <definedName name="SepSun1">DATE(Annéecivile,9,1)-WEEKDAY(DATE(Annéecivile,9,1))+1</definedName>
    <definedName name="_xlnm.Print_Area" localSheetId="7">Août!$A$1:$N$33</definedName>
    <definedName name="_xlnm.Print_Area" localSheetId="3">Avril!$A$1:$N$33</definedName>
    <definedName name="_xlnm.Print_Area" localSheetId="11">Décembre!$A$1:$N$33</definedName>
    <definedName name="_xlnm.Print_Area" localSheetId="1">Février!$A$1:$N$33</definedName>
    <definedName name="_xlnm.Print_Area" localSheetId="0">Janvier!$A$1:$N$33</definedName>
    <definedName name="_xlnm.Print_Area" localSheetId="6">Juillet!$A$1:$N$33</definedName>
    <definedName name="_xlnm.Print_Area" localSheetId="5">Juin!$A$1:$N$33</definedName>
    <definedName name="_xlnm.Print_Area" localSheetId="4">Mai!$A$1:$N$33</definedName>
    <definedName name="_xlnm.Print_Area" localSheetId="2">Mars!$A$1:$N$33</definedName>
    <definedName name="_xlnm.Print_Area" localSheetId="10">Novembre!$A$1:$N$33</definedName>
    <definedName name="_xlnm.Print_Area" localSheetId="9">Octobre!$A$1:$N$33</definedName>
    <definedName name="_xlnm.Print_Area" localSheetId="8">Septembre!$A$1:$N$33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<sst xmlns="http://schemas.openxmlformats.org/spreadsheetml/2006/main" count="240" uniqueCount="28">
  <si>
    <t>D</t>
  </si>
  <si>
    <t>L</t>
  </si>
  <si>
    <t>M</t>
  </si>
  <si>
    <t>M</t>
  </si>
  <si>
    <t>V</t>
  </si>
  <si>
    <t>LUN</t>
  </si>
  <si>
    <t>MAR</t>
  </si>
  <si>
    <t>MER</t>
  </si>
  <si>
    <t>JEU</t>
  </si>
  <si>
    <t>VEN</t>
  </si>
  <si>
    <t>EMPLOI DU TEMPS HEBDOMADAIRE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</si>
  <si>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</si>
  <si>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</si>
  <si>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</si>
  <si>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</si>
  <si>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</si>
  <si>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</si>
  <si>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</si>
  <si>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</si>
  <si>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</si>
  <si>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</si>
  <si>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</si>
  <si>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</si>
  <si>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S</t>
  </si>
  <si>
    <t>MISSIONS</t>
  </si>
  <si>
    <t xml:space="preserve">EMPLOI DU TEMPS HEBDOMADAIRE </t>
  </si>
  <si>
    <t>Janvier</t>
  </si>
  <si>
    <t xml:space="preserve">MISISONS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</si>
</sst>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42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color theme="1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17"/>
      <color theme="4"/>
      <name val="Arial"/>
      <family val="2"/>
      <scheme val="minor"/>
    </font>
    <font>
      <sz val="10"/>
      <color theme="1"/>
      <name val="Arial"/>
      <family val="2"/>
      <scheme val="major"/>
    </font>
    <font>
      <sz val="10.5"/>
      <color theme="1" tint="0.249977111117893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b/>
      <sz val="12"/>
      <color theme="4"/>
      <name val="Arial"/>
      <family val="2"/>
      <scheme val="major"/>
    </font>
    <font>
      <b/>
      <sz val="10.5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b/>
      <sz val="8.5"/>
      <color theme="8"/>
      <name val="Arial"/>
      <family val="2"/>
      <scheme val="minor"/>
    </font>
    <font>
      <b/>
      <sz val="8.5"/>
      <color theme="6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b/>
      <sz val="8.5"/>
      <color theme="4"/>
      <name val="Arial"/>
      <family val="2"/>
      <scheme val="minor"/>
    </font>
    <font>
      <b/>
      <sz val="8.5"/>
      <name val="Arial"/>
      <family val="2"/>
      <scheme val="minor"/>
    </font>
    <font>
      <sz val="8.5"/>
      <name val="Arial"/>
      <family val="2"/>
      <scheme val="minor"/>
    </font>
    <font>
      <sz val="8.5"/>
      <color theme="4"/>
      <name val="Arial"/>
      <family val="2"/>
      <scheme val="minor"/>
    </font>
    <font>
      <sz val="12"/>
      <color theme="4"/>
      <name val="Arial"/>
      <family val="2"/>
      <scheme val="major"/>
    </font>
    <font>
      <sz val="12"/>
      <color rgb="FF002060"/>
      <name val="Arial"/>
      <family val="2"/>
      <scheme val="minor"/>
    </font>
    <font>
      <sz val="12"/>
      <color theme="1" tint="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/>
      <right/>
      <top style="thin">
        <color theme="4" tint="0.79998168889431442"/>
      </top>
      <bottom/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15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/>
    <xf numFmtId="0" fontId="19" fillId="0" borderId="8" xfId="0" applyFont="1" applyBorder="1"/>
    <xf numFmtId="0" fontId="19" fillId="0" borderId="39" xfId="0" applyFont="1" applyBorder="1"/>
    <xf numFmtId="0" fontId="19" fillId="0" borderId="40" xfId="0" applyFont="1" applyBorder="1"/>
    <xf numFmtId="0" fontId="22" fillId="0" borderId="0" xfId="0" applyFont="1" applyFill="1" applyBorder="1" applyAlignment="1">
      <alignment horizontal="center" vertical="center"/>
    </xf>
    <xf numFmtId="0" fontId="19" fillId="0" borderId="15" xfId="0" applyFont="1" applyBorder="1"/>
    <xf numFmtId="164" fontId="23" fillId="0" borderId="0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7" fillId="0" borderId="0" xfId="0" applyFont="1" applyBorder="1" applyAlignment="1">
      <alignment horizontal="right" vertical="center" textRotation="90"/>
    </xf>
    <xf numFmtId="0" fontId="25" fillId="0" borderId="0" xfId="0" applyFont="1" applyBorder="1" applyAlignment="1">
      <alignment horizontal="right" vertical="center"/>
    </xf>
    <xf numFmtId="0" fontId="25" fillId="0" borderId="4" xfId="0" applyFont="1" applyBorder="1" applyAlignment="1">
      <alignment horizontal="center"/>
    </xf>
    <xf numFmtId="164" fontId="28" fillId="0" borderId="13" xfId="0" applyNumberFormat="1" applyFont="1" applyFill="1" applyBorder="1" applyAlignment="1">
      <alignment horizontal="left" vertical="center" wrapText="1" indent="1"/>
    </xf>
    <xf numFmtId="0" fontId="19" fillId="0" borderId="14" xfId="0" applyFont="1" applyBorder="1"/>
    <xf numFmtId="0" fontId="29" fillId="2" borderId="7" xfId="0" applyFont="1" applyFill="1" applyBorder="1" applyAlignment="1">
      <alignment horizontal="left" indent="1"/>
    </xf>
    <xf numFmtId="0" fontId="25" fillId="0" borderId="3" xfId="0" applyFont="1" applyBorder="1" applyAlignment="1">
      <alignment horizontal="right" vertical="center"/>
    </xf>
    <xf numFmtId="0" fontId="25" fillId="0" borderId="3" xfId="0" applyFont="1" applyBorder="1" applyAlignment="1">
      <alignment horizontal="center"/>
    </xf>
    <xf numFmtId="0" fontId="39" fillId="0" borderId="0" xfId="0" applyFont="1" applyBorder="1" applyAlignment="1">
      <alignment horizontal="right" vertical="center" textRotation="90"/>
    </xf>
    <xf numFmtId="164" fontId="40" fillId="0" borderId="13" xfId="0" applyNumberFormat="1" applyFont="1" applyFill="1" applyBorder="1" applyAlignment="1">
      <alignment horizontal="right" vertical="center"/>
    </xf>
    <xf numFmtId="164" fontId="25" fillId="0" borderId="13" xfId="0" applyNumberFormat="1" applyFont="1" applyFill="1" applyBorder="1" applyAlignment="1">
      <alignment horizontal="center"/>
    </xf>
    <xf numFmtId="49" fontId="30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 vertical="top"/>
    </xf>
    <xf numFmtId="49" fontId="31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left" vertical="top" indent="1"/>
    </xf>
    <xf numFmtId="49" fontId="33" fillId="3" borderId="0" xfId="0" applyNumberFormat="1" applyFont="1" applyFill="1" applyBorder="1" applyAlignment="1">
      <alignment horizontal="center"/>
    </xf>
    <xf numFmtId="0" fontId="24" fillId="0" borderId="44" xfId="5" applyFont="1" applyBorder="1">
      <alignment textRotation="90"/>
    </xf>
    <xf numFmtId="0" fontId="24" fillId="0" borderId="0" xfId="5" applyFont="1" applyBorder="1">
      <alignment textRotation="90"/>
    </xf>
    <xf numFmtId="0" fontId="26" fillId="0" borderId="2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9" fillId="2" borderId="9" xfId="0" applyFont="1" applyFill="1" applyBorder="1" applyAlignment="1">
      <alignment horizontal="left" indent="1"/>
    </xf>
    <xf numFmtId="0" fontId="29" fillId="2" borderId="15" xfId="0" applyFont="1" applyFill="1" applyBorder="1" applyAlignment="1">
      <alignment horizontal="left" indent="1"/>
    </xf>
    <xf numFmtId="0" fontId="29" fillId="2" borderId="5" xfId="0" applyFont="1" applyFill="1" applyBorder="1" applyAlignment="1">
      <alignment horizontal="left" indent="1"/>
    </xf>
    <xf numFmtId="0" fontId="21" fillId="0" borderId="32" xfId="3" applyFont="1" applyBorder="1" applyAlignment="1">
      <alignment horizontal="left" vertical="center" indent="2"/>
    </xf>
    <xf numFmtId="0" fontId="21" fillId="0" borderId="33" xfId="3" applyFont="1" applyBorder="1" applyAlignment="1">
      <alignment horizontal="left" vertical="center" indent="2"/>
    </xf>
    <xf numFmtId="0" fontId="21" fillId="0" borderId="29" xfId="3" applyFont="1" applyBorder="1" applyAlignment="1">
      <alignment horizontal="left" vertical="center" indent="2"/>
    </xf>
    <xf numFmtId="0" fontId="21" fillId="0" borderId="30" xfId="3" applyFont="1" applyBorder="1" applyAlignment="1">
      <alignment horizontal="left" vertical="center" indent="2"/>
    </xf>
    <xf numFmtId="0" fontId="24" fillId="0" borderId="35" xfId="5" applyFont="1" applyBorder="1">
      <alignment textRotation="90"/>
    </xf>
    <xf numFmtId="0" fontId="24" fillId="0" borderId="28" xfId="5" applyFont="1" applyBorder="1">
      <alignment textRotation="90"/>
    </xf>
    <xf numFmtId="0" fontId="24" fillId="0" borderId="32" xfId="5" applyFont="1" applyBorder="1">
      <alignment textRotation="90"/>
    </xf>
    <xf numFmtId="0" fontId="26" fillId="0" borderId="3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21" fillId="0" borderId="34" xfId="3" applyFont="1" applyFill="1" applyBorder="1" applyAlignment="1">
      <alignment horizontal="center" vertical="center"/>
    </xf>
    <xf numFmtId="0" fontId="21" fillId="0" borderId="31" xfId="3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top" indent="1"/>
    </xf>
    <xf numFmtId="49" fontId="30" fillId="3" borderId="0" xfId="0" applyNumberFormat="1" applyFont="1" applyFill="1" applyBorder="1" applyAlignment="1">
      <alignment horizontal="left" indent="1"/>
    </xf>
    <xf numFmtId="49" fontId="33" fillId="3" borderId="0" xfId="0" applyNumberFormat="1" applyFont="1" applyFill="1" applyBorder="1" applyAlignment="1">
      <alignment horizontal="left" indent="1"/>
    </xf>
    <xf numFmtId="49" fontId="32" fillId="3" borderId="0" xfId="0" applyNumberFormat="1" applyFont="1" applyFill="1" applyBorder="1" applyAlignment="1">
      <alignment horizontal="left" indent="1"/>
    </xf>
    <xf numFmtId="49" fontId="31" fillId="3" borderId="0" xfId="0" applyNumberFormat="1" applyFont="1" applyFill="1" applyBorder="1" applyAlignment="1">
      <alignment horizontal="left" indent="1"/>
    </xf>
    <xf numFmtId="0" fontId="33" fillId="3" borderId="0" xfId="0" applyFont="1" applyFill="1" applyBorder="1" applyAlignment="1">
      <alignment horizontal="center" vertical="top"/>
    </xf>
    <xf numFmtId="164" fontId="33" fillId="3" borderId="0" xfId="0" applyNumberFormat="1" applyFont="1" applyFill="1" applyBorder="1" applyAlignment="1">
      <alignment horizontal="center" vertical="top"/>
    </xf>
    <xf numFmtId="49" fontId="33" fillId="3" borderId="0" xfId="0" applyNumberFormat="1" applyFont="1" applyFill="1" applyBorder="1" applyAlignment="1">
      <alignment horizontal="center"/>
    </xf>
    <xf numFmtId="49" fontId="30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49" fontId="32" fillId="3" borderId="0" xfId="0" applyNumberFormat="1" applyFont="1" applyFill="1" applyBorder="1" applyAlignment="1">
      <alignment horizontal="center"/>
    </xf>
    <xf numFmtId="49" fontId="33" fillId="3" borderId="0" xfId="0" applyNumberFormat="1" applyFont="1" applyFill="1" applyBorder="1" applyAlignment="1">
      <alignment horizontal="center" vertical="center"/>
    </xf>
    <xf numFmtId="164" fontId="33" fillId="3" borderId="0" xfId="0" applyNumberFormat="1" applyFont="1" applyFill="1" applyBorder="1" applyAlignment="1">
      <alignment horizontal="left" vertical="top" indent="1"/>
    </xf>
    <xf numFmtId="0" fontId="34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horizontal="center" vertical="top"/>
    </xf>
    <xf numFmtId="49" fontId="35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 vertical="top"/>
    </xf>
    <xf numFmtId="0" fontId="36" fillId="3" borderId="0" xfId="0" applyFont="1" applyFill="1" applyBorder="1" applyAlignment="1">
      <alignment horizontal="center" vertical="top"/>
    </xf>
    <xf numFmtId="49" fontId="37" fillId="3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 vertical="top"/>
    </xf>
    <xf numFmtId="0" fontId="17" fillId="0" borderId="38" xfId="2" applyFont="1" applyFill="1" applyBorder="1" applyAlignment="1">
      <alignment horizontal="center" vertical="center" textRotation="90"/>
    </xf>
    <xf numFmtId="0" fontId="20" fillId="0" borderId="6" xfId="2" applyFont="1" applyFill="1" applyBorder="1" applyAlignment="1">
      <alignment horizontal="center" vertical="center" textRotation="90"/>
    </xf>
    <xf numFmtId="0" fontId="20" fillId="0" borderId="41" xfId="2" applyFont="1" applyFill="1" applyBorder="1" applyAlignment="1">
      <alignment horizontal="center" vertical="center" textRotation="90"/>
    </xf>
    <xf numFmtId="0" fontId="7" fillId="0" borderId="6" xfId="4" applyFont="1" applyBorder="1" applyAlignment="1">
      <alignment horizontal="left" vertical="center"/>
    </xf>
    <xf numFmtId="0" fontId="24" fillId="0" borderId="0" xfId="4" applyFont="1" applyAlignment="1">
      <alignment horizontal="left" vertical="center"/>
    </xf>
    <xf numFmtId="0" fontId="24" fillId="0" borderId="15" xfId="4" applyFont="1" applyBorder="1" applyAlignment="1">
      <alignment horizontal="left" vertical="center"/>
    </xf>
    <xf numFmtId="0" fontId="24" fillId="0" borderId="6" xfId="4" applyFont="1" applyBorder="1" applyAlignment="1">
      <alignment horizontal="left" vertical="center"/>
    </xf>
    <xf numFmtId="164" fontId="41" fillId="0" borderId="4" xfId="0" applyNumberFormat="1" applyFont="1" applyFill="1" applyBorder="1" applyAlignment="1">
      <alignment horizontal="left"/>
    </xf>
    <xf numFmtId="164" fontId="41" fillId="0" borderId="19" xfId="0" applyNumberFormat="1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8" fillId="2" borderId="9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17" fillId="0" borderId="38" xfId="2" applyFill="1" applyBorder="1" applyAlignment="1">
      <alignment horizontal="center" vertical="center" textRotation="90"/>
    </xf>
    <xf numFmtId="0" fontId="17" fillId="0" borderId="6" xfId="2" applyFill="1" applyBorder="1" applyAlignment="1">
      <alignment horizontal="center" vertical="center" textRotation="90"/>
    </xf>
    <xf numFmtId="0" fontId="17" fillId="0" borderId="41" xfId="2" applyFill="1" applyBorder="1" applyAlignment="1">
      <alignment horizontal="center" vertical="center" textRotation="90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>
      <alignment textRotation="90"/>
    </xf>
    <xf numFmtId="0" fontId="7" fillId="0" borderId="28" xfId="5" applyBorder="1">
      <alignment textRotation="90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7" fillId="0" borderId="35" xfId="5" applyBorder="1">
      <alignment textRotation="90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</cellXfs>
  <cellStyles count="6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</cellStyles>
  <dxfs count="59"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 xr9:uid="{00000000-0011-0000-FFFF-FFFF01000000}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fr-FR" sz="1000" b="1">
              <a:solidFill>
                <a:schemeClr val="accent1"/>
              </a:solidFill>
              <a:latin typeface="+mn-lt"/>
              <a:ea typeface="+mn-ea"/>
              <a:cs typeface="+mn-cs"/>
            </a:rPr>
            <a:t>Cliquer sur le compteur pour modifier l’année civile</a:t>
          </a:r>
          <a:endParaRPr lang="en-US" sz="10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Compteur 1" descr="Compteur. Utilisez le compteur pour changer l’année civile ou tapez l’année désirée dans la cellule L2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535305</xdr:colOff>
      <xdr:row>0</xdr:row>
      <xdr:rowOff>19051</xdr:rowOff>
    </xdr:from>
    <xdr:to>
      <xdr:col>24</xdr:col>
      <xdr:colOff>407970</xdr:colOff>
      <xdr:row>3</xdr:row>
      <xdr:rowOff>203836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08305" y="19051"/>
          <a:ext cx="2215815" cy="822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91440</xdr:colOff>
      <xdr:row>0</xdr:row>
      <xdr:rowOff>0</xdr:rowOff>
    </xdr:from>
    <xdr:to>
      <xdr:col>18</xdr:col>
      <xdr:colOff>370529</xdr:colOff>
      <xdr:row>3</xdr:row>
      <xdr:rowOff>190571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6940" y="0"/>
          <a:ext cx="2267909" cy="8230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106680</xdr:rowOff>
    </xdr:from>
    <xdr:to>
      <xdr:col>18</xdr:col>
      <xdr:colOff>439109</xdr:colOff>
      <xdr:row>4</xdr:row>
      <xdr:rowOff>68651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5520" y="106680"/>
          <a:ext cx="2267909" cy="8230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99060</xdr:colOff>
      <xdr:row>0</xdr:row>
      <xdr:rowOff>129540</xdr:rowOff>
    </xdr:from>
    <xdr:to>
      <xdr:col>18</xdr:col>
      <xdr:colOff>378149</xdr:colOff>
      <xdr:row>4</xdr:row>
      <xdr:rowOff>91511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4560" y="129540"/>
          <a:ext cx="2267909" cy="823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0</xdr:row>
      <xdr:rowOff>34290</xdr:rowOff>
    </xdr:from>
    <xdr:to>
      <xdr:col>18</xdr:col>
      <xdr:colOff>362909</xdr:colOff>
      <xdr:row>3</xdr:row>
      <xdr:rowOff>219146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34290"/>
          <a:ext cx="2210759" cy="823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121920</xdr:colOff>
      <xdr:row>1</xdr:row>
      <xdr:rowOff>160020</xdr:rowOff>
    </xdr:from>
    <xdr:to>
      <xdr:col>18</xdr:col>
      <xdr:colOff>401009</xdr:colOff>
      <xdr:row>5</xdr:row>
      <xdr:rowOff>30551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7420" y="297180"/>
          <a:ext cx="2267909" cy="8230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91440</xdr:rowOff>
    </xdr:from>
    <xdr:to>
      <xdr:col>18</xdr:col>
      <xdr:colOff>439109</xdr:colOff>
      <xdr:row>4</xdr:row>
      <xdr:rowOff>53411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5520" y="91440"/>
          <a:ext cx="2267909" cy="8230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18</xdr:col>
      <xdr:colOff>439109</xdr:colOff>
      <xdr:row>3</xdr:row>
      <xdr:rowOff>190571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5520" y="0"/>
          <a:ext cx="2267909" cy="8230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18</xdr:col>
      <xdr:colOff>439109</xdr:colOff>
      <xdr:row>5</xdr:row>
      <xdr:rowOff>99131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5520" y="365760"/>
          <a:ext cx="2267909" cy="8230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0</xdr:rowOff>
    </xdr:from>
    <xdr:to>
      <xdr:col>4</xdr:col>
      <xdr:colOff>375921</xdr:colOff>
      <xdr:row>2</xdr:row>
      <xdr:rowOff>91440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1259841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91440</xdr:colOff>
      <xdr:row>0</xdr:row>
      <xdr:rowOff>53340</xdr:rowOff>
    </xdr:from>
    <xdr:to>
      <xdr:col>18</xdr:col>
      <xdr:colOff>370529</xdr:colOff>
      <xdr:row>4</xdr:row>
      <xdr:rowOff>15311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6940" y="53340"/>
          <a:ext cx="2267909" cy="8230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137160</xdr:colOff>
      <xdr:row>0</xdr:row>
      <xdr:rowOff>76200</xdr:rowOff>
    </xdr:from>
    <xdr:to>
      <xdr:col>18</xdr:col>
      <xdr:colOff>416249</xdr:colOff>
      <xdr:row>4</xdr:row>
      <xdr:rowOff>38171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2660" y="76200"/>
          <a:ext cx="2267909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3"/>
  <sheetViews>
    <sheetView showGridLines="0" tabSelected="1" zoomScaleNormal="100" zoomScalePageLayoutView="84" workbookViewId="0">
      <selection activeCell="T23" sqref="T23"/>
    </sheetView>
  </sheetViews>
  <sheetFormatPr baseColWidth="10" defaultColWidth="8.7109375" defaultRowHeight="16.5" customHeight="1" x14ac:dyDescent="0.2"/>
  <cols>
    <col min="1" max="1" width="2.28515625" style="25" customWidth="1"/>
    <col min="2" max="2" width="12.7109375" style="25" customWidth="1"/>
    <col min="3" max="10" width="6.7109375" style="25" customWidth="1"/>
    <col min="11" max="11" width="7.28515625" style="25" customWidth="1"/>
    <col min="12" max="12" width="3.85546875" style="25" customWidth="1"/>
    <col min="13" max="13" width="51.42578125" style="25" customWidth="1"/>
    <col min="14" max="14" width="10.7109375" style="25" customWidth="1"/>
    <col min="15" max="15" width="2.28515625" style="25" customWidth="1"/>
    <col min="16" max="22" width="8.85546875" style="25" customWidth="1"/>
    <col min="23" max="16384" width="8.7109375" style="25"/>
  </cols>
  <sheetData>
    <row r="1" spans="1:14" ht="11.25" customHeight="1" x14ac:dyDescent="0.2"/>
    <row r="2" spans="1:14" ht="18" customHeight="1" x14ac:dyDescent="0.2">
      <c r="A2" s="26"/>
      <c r="B2" s="94" t="s">
        <v>26</v>
      </c>
      <c r="C2" s="27"/>
      <c r="D2" s="27"/>
      <c r="E2" s="27"/>
      <c r="F2" s="27"/>
      <c r="G2" s="27"/>
      <c r="H2" s="27"/>
      <c r="I2" s="27"/>
      <c r="J2" s="28"/>
      <c r="K2" s="61" t="s">
        <v>24</v>
      </c>
      <c r="L2" s="62">
        <v>2013</v>
      </c>
      <c r="M2" s="62"/>
      <c r="N2" s="72">
        <v>2021</v>
      </c>
    </row>
    <row r="3" spans="1:14" ht="21" customHeight="1" x14ac:dyDescent="0.2">
      <c r="A3" s="26"/>
      <c r="B3" s="95"/>
      <c r="C3" s="29" t="s">
        <v>1</v>
      </c>
      <c r="D3" s="29" t="s">
        <v>2</v>
      </c>
      <c r="E3" s="29" t="s">
        <v>3</v>
      </c>
      <c r="F3" s="29" t="s">
        <v>22</v>
      </c>
      <c r="G3" s="29" t="s">
        <v>4</v>
      </c>
      <c r="H3" s="29" t="s">
        <v>23</v>
      </c>
      <c r="I3" s="29" t="s">
        <v>0</v>
      </c>
      <c r="J3" s="30"/>
      <c r="K3" s="63"/>
      <c r="L3" s="64"/>
      <c r="M3" s="64"/>
      <c r="N3" s="73"/>
    </row>
    <row r="4" spans="1:14" ht="18" customHeight="1" x14ac:dyDescent="0.2">
      <c r="A4" s="26"/>
      <c r="B4" s="95"/>
      <c r="C4" s="31">
        <f>IF(DAY(JanSun1)=1,JanSun1-6,JanSun1+1)</f>
        <v>44193</v>
      </c>
      <c r="D4" s="31">
        <f>IF(DAY(JanSun1)=1,JanSun1-5,JanSun1+2)</f>
        <v>44194</v>
      </c>
      <c r="E4" s="31">
        <f>IF(DAY(JanSun1)=1,JanSun1-4,JanSun1+3)</f>
        <v>44195</v>
      </c>
      <c r="F4" s="31">
        <f>IF(DAY(JanSun1)=1,JanSun1-3,JanSun1+4)</f>
        <v>44196</v>
      </c>
      <c r="G4" s="31">
        <f>IF(DAY(JanSun1)=1,JanSun1-2,JanSun1+5)</f>
        <v>44197</v>
      </c>
      <c r="H4" s="31">
        <f>IF(DAY(JanSun1)=1,JanSun1-1,JanSun1+6)</f>
        <v>44198</v>
      </c>
      <c r="I4" s="31">
        <f>IF(DAY(JanSun1)=1,JanSun1,JanSun1+7)</f>
        <v>44199</v>
      </c>
      <c r="J4" s="30"/>
      <c r="K4" s="67" t="s">
        <v>5</v>
      </c>
      <c r="L4" s="32"/>
      <c r="M4" s="68"/>
      <c r="N4" s="69"/>
    </row>
    <row r="5" spans="1:14" ht="18" customHeight="1" x14ac:dyDescent="0.2">
      <c r="A5" s="26"/>
      <c r="B5" s="95"/>
      <c r="C5" s="31">
        <f>IF(DAY(JanSun1)=1,JanSun1+1,JanSun1+8)</f>
        <v>44200</v>
      </c>
      <c r="D5" s="31">
        <f>IF(DAY(JanSun1)=1,JanSun1+2,JanSun1+9)</f>
        <v>44201</v>
      </c>
      <c r="E5" s="31">
        <f>IF(DAY(JanSun1)=1,JanSun1+3,JanSun1+10)</f>
        <v>44202</v>
      </c>
      <c r="F5" s="31">
        <f>IF(DAY(JanSun1)=1,JanSun1+4,JanSun1+11)</f>
        <v>44203</v>
      </c>
      <c r="G5" s="31">
        <f>IF(DAY(JanSun1)=1,JanSun1+5,JanSun1+12)</f>
        <v>44204</v>
      </c>
      <c r="H5" s="31">
        <f>IF(DAY(JanSun1)=1,JanSun1+6,JanSun1+13)</f>
        <v>44205</v>
      </c>
      <c r="I5" s="31">
        <f>IF(DAY(JanSun1)=1,JanSun1+7,JanSun1+14)</f>
        <v>44206</v>
      </c>
      <c r="J5" s="30"/>
      <c r="K5" s="66"/>
      <c r="L5" s="33"/>
      <c r="M5" s="52"/>
      <c r="N5" s="53"/>
    </row>
    <row r="6" spans="1:14" ht="18" customHeight="1" x14ac:dyDescent="0.2">
      <c r="A6" s="26"/>
      <c r="B6" s="95"/>
      <c r="C6" s="31">
        <f>IF(DAY(JanSun1)=1,JanSun1+8,JanSun1+15)</f>
        <v>44207</v>
      </c>
      <c r="D6" s="31">
        <f>IF(DAY(JanSun1)=1,JanSun1+9,JanSun1+16)</f>
        <v>44208</v>
      </c>
      <c r="E6" s="31">
        <f>IF(DAY(JanSun1)=1,JanSun1+10,JanSun1+17)</f>
        <v>44209</v>
      </c>
      <c r="F6" s="31">
        <f>IF(DAY(JanSun1)=1,JanSun1+11,JanSun1+18)</f>
        <v>44210</v>
      </c>
      <c r="G6" s="31">
        <f>IF(DAY(JanSun1)=1,JanSun1+12,JanSun1+19)</f>
        <v>44211</v>
      </c>
      <c r="H6" s="31">
        <f>IF(DAY(JanSun1)=1,JanSun1+13,JanSun1+20)</f>
        <v>44212</v>
      </c>
      <c r="I6" s="31">
        <f>IF(DAY(JanSun1)=1,JanSun1+14,JanSun1+21)</f>
        <v>44213</v>
      </c>
      <c r="J6" s="30"/>
      <c r="K6" s="66"/>
      <c r="L6" s="33"/>
      <c r="M6" s="52"/>
      <c r="N6" s="53"/>
    </row>
    <row r="7" spans="1:14" ht="18" customHeight="1" x14ac:dyDescent="0.2">
      <c r="A7" s="26"/>
      <c r="B7" s="95"/>
      <c r="C7" s="31">
        <f>IF(DAY(JanSun1)=1,JanSun1+15,JanSun1+22)</f>
        <v>44214</v>
      </c>
      <c r="D7" s="31">
        <f>IF(DAY(JanSun1)=1,JanSun1+16,JanSun1+23)</f>
        <v>44215</v>
      </c>
      <c r="E7" s="31">
        <f>IF(DAY(JanSun1)=1,JanSun1+17,JanSun1+24)</f>
        <v>44216</v>
      </c>
      <c r="F7" s="31">
        <f>IF(DAY(JanSun1)=1,JanSun1+18,JanSun1+25)</f>
        <v>44217</v>
      </c>
      <c r="G7" s="31">
        <f>IF(DAY(JanSun1)=1,JanSun1+19,JanSun1+26)</f>
        <v>44218</v>
      </c>
      <c r="H7" s="31">
        <f>IF(DAY(JanSun1)=1,JanSun1+20,JanSun1+27)</f>
        <v>44219</v>
      </c>
      <c r="I7" s="31">
        <f>IF(DAY(JanSun1)=1,JanSun1+21,JanSun1+28)</f>
        <v>44220</v>
      </c>
      <c r="J7" s="30"/>
      <c r="K7" s="34"/>
      <c r="L7" s="33"/>
      <c r="M7" s="52"/>
      <c r="N7" s="53"/>
    </row>
    <row r="8" spans="1:14" ht="18.75" customHeight="1" x14ac:dyDescent="0.2">
      <c r="A8" s="26"/>
      <c r="B8" s="95"/>
      <c r="C8" s="31">
        <f>IF(DAY(JanSun1)=1,JanSun1+22,JanSun1+29)</f>
        <v>44221</v>
      </c>
      <c r="D8" s="31">
        <f>IF(DAY(JanSun1)=1,JanSun1+23,JanSun1+30)</f>
        <v>44222</v>
      </c>
      <c r="E8" s="31">
        <f>IF(DAY(JanSun1)=1,JanSun1+24,JanSun1+31)</f>
        <v>44223</v>
      </c>
      <c r="F8" s="31">
        <f>IF(DAY(JanSun1)=1,JanSun1+25,JanSun1+32)</f>
        <v>44224</v>
      </c>
      <c r="G8" s="31">
        <f>IF(DAY(JanSun1)=1,JanSun1+26,JanSun1+33)</f>
        <v>44225</v>
      </c>
      <c r="H8" s="31">
        <f>IF(DAY(JanSun1)=1,JanSun1+27,JanSun1+34)</f>
        <v>44226</v>
      </c>
      <c r="I8" s="31">
        <f>IF(DAY(JanSun1)=1,JanSun1+28,JanSun1+35)</f>
        <v>44227</v>
      </c>
      <c r="J8" s="30"/>
      <c r="K8" s="34"/>
      <c r="L8" s="33"/>
      <c r="M8" s="70"/>
      <c r="N8" s="71"/>
    </row>
    <row r="9" spans="1:14" ht="18" customHeight="1" x14ac:dyDescent="0.2">
      <c r="A9" s="26"/>
      <c r="B9" s="95"/>
      <c r="C9" s="31">
        <f>IF(DAY(JanSun1)=1,JanSun1+29,JanSun1+36)</f>
        <v>44228</v>
      </c>
      <c r="D9" s="31">
        <f>IF(DAY(JanSun1)=1,JanSun1+30,JanSun1+37)</f>
        <v>44229</v>
      </c>
      <c r="E9" s="31">
        <f>IF(DAY(JanSun1)=1,JanSun1+31,JanSun1+38)</f>
        <v>44230</v>
      </c>
      <c r="F9" s="31">
        <f>IF(DAY(JanSun1)=1,JanSun1+32,JanSun1+39)</f>
        <v>44231</v>
      </c>
      <c r="G9" s="31">
        <f>IF(DAY(JanSun1)=1,JanSun1+33,JanSun1+40)</f>
        <v>44232</v>
      </c>
      <c r="H9" s="31">
        <f>IF(DAY(JanSun1)=1,JanSun1+34,JanSun1+41)</f>
        <v>44233</v>
      </c>
      <c r="I9" s="31">
        <f>IF(DAY(JanSun1)=1,JanSun1+35,JanSun1+42)</f>
        <v>44234</v>
      </c>
      <c r="J9" s="30"/>
      <c r="K9" s="35"/>
      <c r="L9" s="36"/>
      <c r="M9" s="54"/>
      <c r="N9" s="55"/>
    </row>
    <row r="10" spans="1:14" ht="18" customHeight="1" x14ac:dyDescent="0.2">
      <c r="A10" s="26"/>
      <c r="B10" s="96"/>
      <c r="C10" s="37"/>
      <c r="D10" s="37"/>
      <c r="E10" s="37"/>
      <c r="F10" s="37"/>
      <c r="G10" s="37"/>
      <c r="H10" s="37"/>
      <c r="I10" s="37"/>
      <c r="J10" s="38"/>
      <c r="K10" s="65" t="s">
        <v>6</v>
      </c>
      <c r="L10" s="32"/>
      <c r="M10" s="56"/>
      <c r="N10" s="57"/>
    </row>
    <row r="11" spans="1:14" ht="18" customHeight="1" x14ac:dyDescent="0.2">
      <c r="A11" s="26"/>
      <c r="B11" s="97" t="s">
        <v>25</v>
      </c>
      <c r="C11" s="98"/>
      <c r="D11" s="98"/>
      <c r="E11" s="98"/>
      <c r="F11" s="98"/>
      <c r="G11" s="98"/>
      <c r="H11" s="98"/>
      <c r="I11" s="98"/>
      <c r="J11" s="99"/>
      <c r="K11" s="66"/>
      <c r="L11" s="33"/>
      <c r="M11" s="52"/>
      <c r="N11" s="53"/>
    </row>
    <row r="12" spans="1:14" ht="18" customHeight="1" x14ac:dyDescent="0.2">
      <c r="A12" s="26"/>
      <c r="B12" s="100"/>
      <c r="C12" s="98"/>
      <c r="D12" s="98"/>
      <c r="E12" s="98"/>
      <c r="F12" s="98"/>
      <c r="G12" s="98"/>
      <c r="H12" s="98"/>
      <c r="I12" s="98"/>
      <c r="J12" s="99"/>
      <c r="K12" s="66"/>
      <c r="L12" s="33"/>
      <c r="M12" s="52"/>
      <c r="N12" s="53"/>
    </row>
    <row r="13" spans="1:14" ht="18" customHeight="1" x14ac:dyDescent="0.2">
      <c r="B13" s="39" t="s">
        <v>5</v>
      </c>
      <c r="C13" s="58" t="s">
        <v>6</v>
      </c>
      <c r="D13" s="60"/>
      <c r="E13" s="58" t="s">
        <v>7</v>
      </c>
      <c r="F13" s="60"/>
      <c r="G13" s="58" t="s">
        <v>8</v>
      </c>
      <c r="H13" s="60"/>
      <c r="I13" s="58" t="s">
        <v>9</v>
      </c>
      <c r="J13" s="59"/>
      <c r="K13" s="34"/>
      <c r="L13" s="33"/>
      <c r="M13" s="52"/>
      <c r="N13" s="53"/>
    </row>
    <row r="14" spans="1:14" ht="18" customHeight="1" x14ac:dyDescent="0.2">
      <c r="B14" s="45"/>
      <c r="C14" s="75"/>
      <c r="D14" s="75"/>
      <c r="E14" s="75"/>
      <c r="F14" s="75"/>
      <c r="G14" s="83"/>
      <c r="H14" s="83"/>
      <c r="I14" s="84"/>
      <c r="J14" s="84"/>
      <c r="K14" s="34"/>
      <c r="L14" s="33"/>
      <c r="M14" s="52"/>
      <c r="N14" s="53"/>
    </row>
    <row r="15" spans="1:14" ht="18" customHeight="1" x14ac:dyDescent="0.2">
      <c r="B15" s="46"/>
      <c r="C15" s="74"/>
      <c r="D15" s="74"/>
      <c r="E15" s="74"/>
      <c r="F15" s="74"/>
      <c r="G15" s="79"/>
      <c r="H15" s="79"/>
      <c r="I15" s="80"/>
      <c r="J15" s="80"/>
      <c r="K15" s="40"/>
      <c r="L15" s="41"/>
      <c r="M15" s="54"/>
      <c r="N15" s="55"/>
    </row>
    <row r="16" spans="1:14" ht="18" customHeight="1" x14ac:dyDescent="0.2">
      <c r="B16" s="49"/>
      <c r="C16" s="76"/>
      <c r="D16" s="76"/>
      <c r="E16" s="75"/>
      <c r="F16" s="75"/>
      <c r="G16" s="82"/>
      <c r="H16" s="82"/>
      <c r="I16" s="85"/>
      <c r="J16" s="85"/>
      <c r="K16" s="50" t="s">
        <v>7</v>
      </c>
      <c r="L16" s="32"/>
      <c r="M16" s="56"/>
      <c r="N16" s="57"/>
    </row>
    <row r="17" spans="2:14" ht="18" customHeight="1" x14ac:dyDescent="0.2">
      <c r="B17" s="46"/>
      <c r="C17" s="74"/>
      <c r="D17" s="74"/>
      <c r="E17" s="74"/>
      <c r="F17" s="74"/>
      <c r="G17" s="79"/>
      <c r="H17" s="79"/>
      <c r="I17" s="80"/>
      <c r="J17" s="80"/>
      <c r="K17" s="51"/>
      <c r="L17" s="33"/>
      <c r="M17" s="52"/>
      <c r="N17" s="53"/>
    </row>
    <row r="18" spans="2:14" ht="18" customHeight="1" x14ac:dyDescent="0.2">
      <c r="B18" s="45"/>
      <c r="C18" s="77"/>
      <c r="D18" s="77"/>
      <c r="E18" s="75"/>
      <c r="F18" s="75"/>
      <c r="G18" s="81"/>
      <c r="H18" s="81"/>
      <c r="I18" s="82"/>
      <c r="J18" s="82"/>
      <c r="K18" s="51"/>
      <c r="L18" s="33"/>
      <c r="M18" s="52"/>
      <c r="N18" s="53"/>
    </row>
    <row r="19" spans="2:14" ht="18" customHeight="1" x14ac:dyDescent="0.2">
      <c r="B19" s="46"/>
      <c r="C19" s="74"/>
      <c r="D19" s="74"/>
      <c r="E19" s="74"/>
      <c r="F19" s="74"/>
      <c r="G19" s="79"/>
      <c r="H19" s="79"/>
      <c r="I19" s="80"/>
      <c r="J19" s="80"/>
      <c r="K19" s="34"/>
      <c r="L19" s="33"/>
      <c r="M19" s="52"/>
      <c r="N19" s="53"/>
    </row>
    <row r="20" spans="2:14" ht="18" customHeight="1" x14ac:dyDescent="0.2">
      <c r="B20" s="45"/>
      <c r="C20" s="75"/>
      <c r="D20" s="75"/>
      <c r="E20" s="75"/>
      <c r="F20" s="75"/>
      <c r="G20" s="82"/>
      <c r="H20" s="82"/>
      <c r="I20" s="81"/>
      <c r="J20" s="81"/>
      <c r="K20" s="34"/>
      <c r="L20" s="33"/>
      <c r="M20" s="52"/>
      <c r="N20" s="53"/>
    </row>
    <row r="21" spans="2:14" ht="18" customHeight="1" x14ac:dyDescent="0.2">
      <c r="B21" s="46"/>
      <c r="C21" s="74"/>
      <c r="D21" s="74"/>
      <c r="E21" s="74"/>
      <c r="F21" s="74"/>
      <c r="G21" s="79"/>
      <c r="H21" s="79"/>
      <c r="I21" s="87"/>
      <c r="J21" s="87"/>
      <c r="K21" s="40"/>
      <c r="L21" s="41"/>
      <c r="M21" s="54"/>
      <c r="N21" s="55"/>
    </row>
    <row r="22" spans="2:14" ht="18" customHeight="1" x14ac:dyDescent="0.2">
      <c r="B22" s="45"/>
      <c r="C22" s="75"/>
      <c r="D22" s="75"/>
      <c r="E22" s="75"/>
      <c r="F22" s="75"/>
      <c r="G22" s="82"/>
      <c r="H22" s="82"/>
      <c r="I22" s="75"/>
      <c r="J22" s="75"/>
      <c r="K22" s="50" t="s">
        <v>8</v>
      </c>
      <c r="L22" s="32"/>
      <c r="M22" s="56"/>
      <c r="N22" s="57"/>
    </row>
    <row r="23" spans="2:14" ht="18" customHeight="1" x14ac:dyDescent="0.2">
      <c r="B23" s="46"/>
      <c r="C23" s="74"/>
      <c r="D23" s="74"/>
      <c r="E23" s="74"/>
      <c r="F23" s="74"/>
      <c r="G23" s="79"/>
      <c r="H23" s="79"/>
      <c r="I23" s="86"/>
      <c r="J23" s="86"/>
      <c r="K23" s="51"/>
      <c r="L23" s="33"/>
      <c r="M23" s="52"/>
      <c r="N23" s="53"/>
    </row>
    <row r="24" spans="2:14" ht="18" customHeight="1" x14ac:dyDescent="0.2">
      <c r="B24" s="45"/>
      <c r="C24" s="75"/>
      <c r="D24" s="75"/>
      <c r="E24" s="75"/>
      <c r="F24" s="75"/>
      <c r="G24" s="82"/>
      <c r="H24" s="82"/>
      <c r="I24" s="75"/>
      <c r="J24" s="75"/>
      <c r="K24" s="51"/>
      <c r="L24" s="33"/>
      <c r="M24" s="52"/>
      <c r="N24" s="53"/>
    </row>
    <row r="25" spans="2:14" ht="18" customHeight="1" x14ac:dyDescent="0.2">
      <c r="B25" s="46"/>
      <c r="C25" s="74"/>
      <c r="D25" s="74"/>
      <c r="E25" s="74"/>
      <c r="F25" s="74"/>
      <c r="G25" s="79"/>
      <c r="H25" s="79"/>
      <c r="I25" s="86"/>
      <c r="J25" s="86"/>
      <c r="K25" s="51"/>
      <c r="L25" s="33"/>
      <c r="M25" s="52"/>
      <c r="N25" s="53"/>
    </row>
    <row r="26" spans="2:14" ht="18" customHeight="1" x14ac:dyDescent="0.2">
      <c r="B26" s="47"/>
      <c r="C26" s="78"/>
      <c r="D26" s="78"/>
      <c r="E26" s="75"/>
      <c r="F26" s="75"/>
      <c r="G26" s="89"/>
      <c r="H26" s="89"/>
      <c r="I26" s="83"/>
      <c r="J26" s="83"/>
      <c r="K26" s="34"/>
      <c r="L26" s="33"/>
      <c r="M26" s="52"/>
      <c r="N26" s="53"/>
    </row>
    <row r="27" spans="2:14" ht="18" customHeight="1" x14ac:dyDescent="0.2">
      <c r="B27" s="46"/>
      <c r="C27" s="74"/>
      <c r="D27" s="74"/>
      <c r="E27" s="74"/>
      <c r="F27" s="74"/>
      <c r="G27" s="91"/>
      <c r="H27" s="91"/>
      <c r="I27" s="88"/>
      <c r="J27" s="88"/>
      <c r="K27" s="40"/>
      <c r="L27" s="41"/>
      <c r="M27" s="54"/>
      <c r="N27" s="55"/>
    </row>
    <row r="28" spans="2:14" ht="18" customHeight="1" x14ac:dyDescent="0.2">
      <c r="B28" s="49"/>
      <c r="C28" s="76"/>
      <c r="D28" s="76"/>
      <c r="E28" s="75"/>
      <c r="F28" s="75"/>
      <c r="G28" s="92"/>
      <c r="H28" s="92"/>
      <c r="I28" s="89"/>
      <c r="J28" s="89"/>
      <c r="K28" s="50" t="s">
        <v>9</v>
      </c>
      <c r="L28" s="32"/>
      <c r="M28" s="56"/>
      <c r="N28" s="57"/>
    </row>
    <row r="29" spans="2:14" ht="18" customHeight="1" x14ac:dyDescent="0.2">
      <c r="B29" s="46"/>
      <c r="C29" s="74"/>
      <c r="D29" s="74"/>
      <c r="E29" s="74"/>
      <c r="F29" s="74"/>
      <c r="G29" s="93"/>
      <c r="H29" s="93"/>
      <c r="I29" s="90"/>
      <c r="J29" s="90"/>
      <c r="K29" s="51"/>
      <c r="L29" s="33"/>
      <c r="M29" s="52"/>
      <c r="N29" s="53"/>
    </row>
    <row r="30" spans="2:14" ht="18" customHeight="1" x14ac:dyDescent="0.2">
      <c r="B30" s="45"/>
      <c r="C30" s="75"/>
      <c r="D30" s="75"/>
      <c r="E30" s="75"/>
      <c r="F30" s="75"/>
      <c r="G30" s="92"/>
      <c r="H30" s="92"/>
      <c r="I30" s="92"/>
      <c r="J30" s="92"/>
      <c r="K30" s="51"/>
      <c r="L30" s="33"/>
      <c r="M30" s="52"/>
      <c r="N30" s="53"/>
    </row>
    <row r="31" spans="2:14" ht="18" customHeight="1" x14ac:dyDescent="0.2">
      <c r="B31" s="46"/>
      <c r="C31" s="74"/>
      <c r="D31" s="74"/>
      <c r="E31" s="74"/>
      <c r="F31" s="74"/>
      <c r="G31" s="93"/>
      <c r="H31" s="93"/>
      <c r="I31" s="93"/>
      <c r="J31" s="93"/>
      <c r="K31" s="42"/>
      <c r="L31" s="33"/>
      <c r="M31" s="52"/>
      <c r="N31" s="53"/>
    </row>
    <row r="32" spans="2:14" ht="18" customHeight="1" x14ac:dyDescent="0.2">
      <c r="B32" s="45"/>
      <c r="C32" s="75"/>
      <c r="D32" s="75"/>
      <c r="E32" s="75"/>
      <c r="F32" s="75"/>
      <c r="G32" s="103"/>
      <c r="H32" s="103"/>
      <c r="I32" s="103"/>
      <c r="J32" s="103"/>
      <c r="K32" s="42"/>
      <c r="L32" s="33"/>
      <c r="M32" s="52"/>
      <c r="N32" s="53"/>
    </row>
    <row r="33" spans="2:14" ht="18" customHeight="1" x14ac:dyDescent="0.2">
      <c r="B33" s="48"/>
      <c r="C33" s="74"/>
      <c r="D33" s="74"/>
      <c r="E33" s="74"/>
      <c r="F33" s="74"/>
      <c r="G33" s="74"/>
      <c r="H33" s="74"/>
      <c r="I33" s="86"/>
      <c r="J33" s="86"/>
      <c r="K33" s="43"/>
      <c r="L33" s="44"/>
      <c r="M33" s="101"/>
      <c r="N33" s="102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VLOOKUP(DAY(C4),joursdeaffectation,1,FALSE)=DAY(C4)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 xr:uid="{00000000-0002-0000-0000-000000000000}"/>
  </dataValidations>
  <printOptions horizontalCentered="1" verticalCentered="1"/>
  <pageMargins left="0.5" right="0.5" top="0.5" bottom="0.5" header="0.3" footer="0.3"/>
  <pageSetup scale="9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mpteur 1">
              <controlPr defaultSize="0" print="0" autoPict="0" altText="Compteur. Utilisez le compteur pour changer l’année civile ou tapez l’année désirée dans la cellule L2.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AO33"/>
  <sheetViews>
    <sheetView showGridLines="0" zoomScaleNormal="100" zoomScalePageLayoutView="84" workbookViewId="0">
      <selection activeCell="Q5" sqref="Q5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19</v>
      </c>
      <c r="C2" s="21"/>
      <c r="D2" s="21"/>
      <c r="E2" s="21"/>
      <c r="F2" s="21"/>
      <c r="G2" s="21"/>
      <c r="H2" s="21"/>
      <c r="I2" s="21"/>
      <c r="J2" s="22"/>
      <c r="K2" s="115" t="s">
        <v>27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IF(DAY(OctSun1)=1,OctSun1-6,OctSun1+1)</f>
        <v>44466</v>
      </c>
      <c r="D4" s="10">
        <f>IF(DAY(OctSun1)=1,OctSun1-5,OctSun1+2)</f>
        <v>44467</v>
      </c>
      <c r="E4" s="10">
        <f>IF(DAY(OctSun1)=1,OctSun1-4,OctSun1+3)</f>
        <v>44468</v>
      </c>
      <c r="F4" s="10">
        <f>IF(DAY(OctSun1)=1,OctSun1-3,OctSun1+4)</f>
        <v>44469</v>
      </c>
      <c r="G4" s="10">
        <f>IF(DAY(OctSun1)=1,OctSun1-2,OctSun1+5)</f>
        <v>44470</v>
      </c>
      <c r="H4" s="10">
        <f>IF(DAY(OctSun1)=1,OctSun1-1,OctSun1+6)</f>
        <v>44471</v>
      </c>
      <c r="I4" s="10">
        <f>IF(DAY(OctSun1)=1,OctSun1,OctSun1+7)</f>
        <v>44472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IF(DAY(OctSun1)=1,OctSun1+1,OctSun1+8)</f>
        <v>44473</v>
      </c>
      <c r="D5" s="10">
        <f>IF(DAY(OctSun1)=1,OctSun1+2,OctSun1+9)</f>
        <v>44474</v>
      </c>
      <c r="E5" s="10">
        <f>IF(DAY(OctSun1)=1,OctSun1+3,OctSun1+10)</f>
        <v>44475</v>
      </c>
      <c r="F5" s="10">
        <f>IF(DAY(OctSun1)=1,OctSun1+4,OctSun1+11)</f>
        <v>44476</v>
      </c>
      <c r="G5" s="10">
        <f>IF(DAY(OctSun1)=1,OctSun1+5,OctSun1+12)</f>
        <v>44477</v>
      </c>
      <c r="H5" s="10">
        <f>IF(DAY(OctSun1)=1,OctSun1+6,OctSun1+13)</f>
        <v>44478</v>
      </c>
      <c r="I5" s="10">
        <f>IF(DAY(OctSun1)=1,OctSun1+7,OctSun1+14)</f>
        <v>44479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IF(DAY(OctSun1)=1,OctSun1+8,OctSun1+15)</f>
        <v>44480</v>
      </c>
      <c r="D6" s="10">
        <f>IF(DAY(OctSun1)=1,OctSun1+9,OctSun1+16)</f>
        <v>44481</v>
      </c>
      <c r="E6" s="10">
        <f>IF(DAY(OctSun1)=1,OctSun1+10,OctSun1+17)</f>
        <v>44482</v>
      </c>
      <c r="F6" s="10">
        <f>IF(DAY(OctSun1)=1,OctSun1+11,OctSun1+18)</f>
        <v>44483</v>
      </c>
      <c r="G6" s="10">
        <f>IF(DAY(OctSun1)=1,OctSun1+12,OctSun1+19)</f>
        <v>44484</v>
      </c>
      <c r="H6" s="10">
        <f>IF(DAY(OctSun1)=1,OctSun1+13,OctSun1+20)</f>
        <v>44485</v>
      </c>
      <c r="I6" s="10">
        <f>IF(DAY(OctSun1)=1,OctSun1+14,OctSun1+21)</f>
        <v>44486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IF(DAY(OctSun1)=1,OctSun1+15,OctSun1+22)</f>
        <v>44487</v>
      </c>
      <c r="D7" s="10">
        <f>IF(DAY(OctSun1)=1,OctSun1+16,OctSun1+23)</f>
        <v>44488</v>
      </c>
      <c r="E7" s="10">
        <f>IF(DAY(OctSun1)=1,OctSun1+17,OctSun1+24)</f>
        <v>44489</v>
      </c>
      <c r="F7" s="10">
        <f>IF(DAY(OctSun1)=1,OctSun1+18,OctSun1+25)</f>
        <v>44490</v>
      </c>
      <c r="G7" s="10">
        <f>IF(DAY(OctSun1)=1,OctSun1+19,OctSun1+26)</f>
        <v>44491</v>
      </c>
      <c r="H7" s="10">
        <f>IF(DAY(OctSun1)=1,OctSun1+20,OctSun1+27)</f>
        <v>44492</v>
      </c>
      <c r="I7" s="10">
        <f>IF(DAY(OctSun1)=1,OctSun1+21,OctSun1+28)</f>
        <v>44493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IF(DAY(OctSun1)=1,OctSun1+22,OctSun1+29)</f>
        <v>44494</v>
      </c>
      <c r="D8" s="10">
        <f>IF(DAY(OctSun1)=1,OctSun1+23,OctSun1+30)</f>
        <v>44495</v>
      </c>
      <c r="E8" s="10">
        <f>IF(DAY(OctSun1)=1,OctSun1+24,OctSun1+31)</f>
        <v>44496</v>
      </c>
      <c r="F8" s="10">
        <f>IF(DAY(OctSun1)=1,OctSun1+25,OctSun1+32)</f>
        <v>44497</v>
      </c>
      <c r="G8" s="10">
        <f>IF(DAY(OctSun1)=1,OctSun1+26,OctSun1+33)</f>
        <v>44498</v>
      </c>
      <c r="H8" s="10">
        <f>IF(DAY(OctSun1)=1,OctSun1+27,OctSun1+34)</f>
        <v>44499</v>
      </c>
      <c r="I8" s="10">
        <f>IF(DAY(OctSun1)=1,OctSun1+28,OctSun1+35)</f>
        <v>44500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IF(DAY(OctSun1)=1,OctSun1+29,OctSun1+36)</f>
        <v>44501</v>
      </c>
      <c r="D9" s="10">
        <f>IF(DAY(OctSun1)=1,OctSun1+30,OctSun1+37)</f>
        <v>44502</v>
      </c>
      <c r="E9" s="10">
        <f>IF(DAY(OctSun1)=1,OctSun1+31,OctSun1+38)</f>
        <v>44503</v>
      </c>
      <c r="F9" s="10">
        <f>IF(DAY(OctSun1)=1,OctSun1+32,OctSun1+39)</f>
        <v>44504</v>
      </c>
      <c r="G9" s="10">
        <f>IF(DAY(OctSun1)=1,OctSun1+33,OctSun1+40)</f>
        <v>44505</v>
      </c>
      <c r="H9" s="10">
        <f>IF(DAY(OctSun1)=1,OctSun1+34,OctSun1+41)</f>
        <v>44506</v>
      </c>
      <c r="I9" s="10">
        <f>IF(DAY(OctSun1)=1,OctSun1+35,OctSun1+42)</f>
        <v>44507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VLOOKUP(DAY(C4),joursdeaffectation,1,FALSE)=DAY(C4)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AO33"/>
  <sheetViews>
    <sheetView showGridLines="0" zoomScaleNormal="100" zoomScalePageLayoutView="84" workbookViewId="0">
      <selection activeCell="M6" sqref="M6:N6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20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IF(DAY(NovSun1)=1,NovSun1-6,NovSun1+1)</f>
        <v>44501</v>
      </c>
      <c r="D4" s="10">
        <f>IF(DAY(NovSun1)=1,NovSun1-5,NovSun1+2)</f>
        <v>44502</v>
      </c>
      <c r="E4" s="10">
        <f>IF(DAY(NovSun1)=1,NovSun1-4,NovSun1+3)</f>
        <v>44503</v>
      </c>
      <c r="F4" s="10">
        <f>IF(DAY(NovSun1)=1,NovSun1-3,NovSun1+4)</f>
        <v>44504</v>
      </c>
      <c r="G4" s="10">
        <f>IF(DAY(NovSun1)=1,NovSun1-2,NovSun1+5)</f>
        <v>44505</v>
      </c>
      <c r="H4" s="10">
        <f>IF(DAY(NovSun1)=1,NovSun1-1,NovSun1+6)</f>
        <v>44506</v>
      </c>
      <c r="I4" s="10">
        <f>IF(DAY(NovSun1)=1,NovSun1,NovSun1+7)</f>
        <v>44507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IF(DAY(NovSun1)=1,NovSun1+1,NovSun1+8)</f>
        <v>44508</v>
      </c>
      <c r="D5" s="10">
        <f>IF(DAY(NovSun1)=1,NovSun1+2,NovSun1+9)</f>
        <v>44509</v>
      </c>
      <c r="E5" s="10">
        <f>IF(DAY(NovSun1)=1,NovSun1+3,NovSun1+10)</f>
        <v>44510</v>
      </c>
      <c r="F5" s="10">
        <f>IF(DAY(NovSun1)=1,NovSun1+4,NovSun1+11)</f>
        <v>44511</v>
      </c>
      <c r="G5" s="10">
        <f>IF(DAY(NovSun1)=1,NovSun1+5,NovSun1+12)</f>
        <v>44512</v>
      </c>
      <c r="H5" s="10">
        <f>IF(DAY(NovSun1)=1,NovSun1+6,NovSun1+13)</f>
        <v>44513</v>
      </c>
      <c r="I5" s="10">
        <f>IF(DAY(NovSun1)=1,NovSun1+7,NovSun1+14)</f>
        <v>44514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IF(DAY(NovSun1)=1,NovSun1+8,NovSun1+15)</f>
        <v>44515</v>
      </c>
      <c r="D6" s="10">
        <f>IF(DAY(NovSun1)=1,NovSun1+9,NovSun1+16)</f>
        <v>44516</v>
      </c>
      <c r="E6" s="10">
        <f>IF(DAY(NovSun1)=1,NovSun1+10,NovSun1+17)</f>
        <v>44517</v>
      </c>
      <c r="F6" s="10">
        <f>IF(DAY(NovSun1)=1,NovSun1+11,NovSun1+18)</f>
        <v>44518</v>
      </c>
      <c r="G6" s="10">
        <f>IF(DAY(NovSun1)=1,NovSun1+12,NovSun1+19)</f>
        <v>44519</v>
      </c>
      <c r="H6" s="10">
        <f>IF(DAY(NovSun1)=1,NovSun1+13,NovSun1+20)</f>
        <v>44520</v>
      </c>
      <c r="I6" s="10">
        <f>IF(DAY(NovSun1)=1,NovSun1+14,NovSun1+21)</f>
        <v>44521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IF(DAY(NovSun1)=1,NovSun1+15,NovSun1+22)</f>
        <v>44522</v>
      </c>
      <c r="D7" s="10">
        <f>IF(DAY(NovSun1)=1,NovSun1+16,NovSun1+23)</f>
        <v>44523</v>
      </c>
      <c r="E7" s="10">
        <f>IF(DAY(NovSun1)=1,NovSun1+17,NovSun1+24)</f>
        <v>44524</v>
      </c>
      <c r="F7" s="10">
        <f>IF(DAY(NovSun1)=1,NovSun1+18,NovSun1+25)</f>
        <v>44525</v>
      </c>
      <c r="G7" s="10">
        <f>IF(DAY(NovSun1)=1,NovSun1+19,NovSun1+26)</f>
        <v>44526</v>
      </c>
      <c r="H7" s="10">
        <f>IF(DAY(NovSun1)=1,NovSun1+20,NovSun1+27)</f>
        <v>44527</v>
      </c>
      <c r="I7" s="10">
        <f>IF(DAY(NovSun1)=1,NovSun1+21,NovSun1+28)</f>
        <v>44528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IF(DAY(NovSun1)=1,NovSun1+22,NovSun1+29)</f>
        <v>44529</v>
      </c>
      <c r="D8" s="10">
        <f>IF(DAY(NovSun1)=1,NovSun1+23,NovSun1+30)</f>
        <v>44530</v>
      </c>
      <c r="E8" s="10">
        <f>IF(DAY(NovSun1)=1,NovSun1+24,NovSun1+31)</f>
        <v>44531</v>
      </c>
      <c r="F8" s="10">
        <f>IF(DAY(NovSun1)=1,NovSun1+25,NovSun1+32)</f>
        <v>44532</v>
      </c>
      <c r="G8" s="10">
        <f>IF(DAY(NovSun1)=1,NovSun1+26,NovSun1+33)</f>
        <v>44533</v>
      </c>
      <c r="H8" s="10">
        <f>IF(DAY(NovSun1)=1,NovSun1+27,NovSun1+34)</f>
        <v>44534</v>
      </c>
      <c r="I8" s="10">
        <f>IF(DAY(NovSun1)=1,NovSun1+28,NovSun1+35)</f>
        <v>44535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IF(DAY(NovSun1)=1,NovSun1+29,NovSun1+36)</f>
        <v>44536</v>
      </c>
      <c r="D9" s="10">
        <f>IF(DAY(NovSun1)=1,NovSun1+30,NovSun1+37)</f>
        <v>44537</v>
      </c>
      <c r="E9" s="10">
        <f>IF(DAY(NovSun1)=1,NovSun1+31,NovSun1+38)</f>
        <v>44538</v>
      </c>
      <c r="F9" s="10">
        <f>IF(DAY(NovSun1)=1,NovSun1+32,NovSun1+39)</f>
        <v>44539</v>
      </c>
      <c r="G9" s="10">
        <f>IF(DAY(NovSun1)=1,NovSun1+33,NovSun1+40)</f>
        <v>44540</v>
      </c>
      <c r="H9" s="10">
        <f>IF(DAY(NovSun1)=1,NovSun1+34,NovSun1+41)</f>
        <v>44541</v>
      </c>
      <c r="I9" s="10">
        <f>IF(DAY(NovSun1)=1,NovSun1+35,NovSun1+42)</f>
        <v>44542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VLOOKUP(DAY(C4),joursdeaffectation,1,FALSE)=DAY(C4)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AO33"/>
  <sheetViews>
    <sheetView showGridLines="0" zoomScaleNormal="100" zoomScalePageLayoutView="84" workbookViewId="0">
      <selection activeCell="Q8" sqref="Q8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21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IF(DAY(DecSun1)=1,DecSun1-6,DecSun1+1)</f>
        <v>44529</v>
      </c>
      <c r="D4" s="10">
        <f>IF(DAY(DecSun1)=1,DecSun1-5,DecSun1+2)</f>
        <v>44530</v>
      </c>
      <c r="E4" s="10">
        <f>IF(DAY(DecSun1)=1,DecSun1-4,DecSun1+3)</f>
        <v>44531</v>
      </c>
      <c r="F4" s="10">
        <f>IF(DAY(DecSun1)=1,DecSun1-3,DecSun1+4)</f>
        <v>44532</v>
      </c>
      <c r="G4" s="10">
        <f>IF(DAY(DecSun1)=1,DecSun1-2,DecSun1+5)</f>
        <v>44533</v>
      </c>
      <c r="H4" s="10">
        <f>IF(DAY(DecSun1)=1,DecSun1-1,DecSun1+6)</f>
        <v>44534</v>
      </c>
      <c r="I4" s="10">
        <f>IF(DAY(DecSun1)=1,DecSun1,DecSun1+7)</f>
        <v>44535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IF(DAY(DecSun1)=1,DecSun1+1,DecSun1+8)</f>
        <v>44536</v>
      </c>
      <c r="D5" s="10">
        <f>IF(DAY(DecSun1)=1,DecSun1+2,DecSun1+9)</f>
        <v>44537</v>
      </c>
      <c r="E5" s="10">
        <f>IF(DAY(DecSun1)=1,DecSun1+3,DecSun1+10)</f>
        <v>44538</v>
      </c>
      <c r="F5" s="10">
        <f>IF(DAY(DecSun1)=1,DecSun1+4,DecSun1+11)</f>
        <v>44539</v>
      </c>
      <c r="G5" s="10">
        <f>IF(DAY(DecSun1)=1,DecSun1+5,DecSun1+12)</f>
        <v>44540</v>
      </c>
      <c r="H5" s="10">
        <f>IF(DAY(DecSun1)=1,DecSun1+6,DecSun1+13)</f>
        <v>44541</v>
      </c>
      <c r="I5" s="10">
        <f>IF(DAY(DecSun1)=1,DecSun1+7,DecSun1+14)</f>
        <v>44542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IF(DAY(DecSun1)=1,DecSun1+8,DecSun1+15)</f>
        <v>44543</v>
      </c>
      <c r="D6" s="10">
        <f>IF(DAY(DecSun1)=1,DecSun1+9,DecSun1+16)</f>
        <v>44544</v>
      </c>
      <c r="E6" s="10">
        <f>IF(DAY(DecSun1)=1,DecSun1+10,DecSun1+17)</f>
        <v>44545</v>
      </c>
      <c r="F6" s="10">
        <f>IF(DAY(DecSun1)=1,DecSun1+11,DecSun1+18)</f>
        <v>44546</v>
      </c>
      <c r="G6" s="10">
        <f>IF(DAY(DecSun1)=1,DecSun1+12,DecSun1+19)</f>
        <v>44547</v>
      </c>
      <c r="H6" s="10">
        <f>IF(DAY(DecSun1)=1,DecSun1+13,DecSun1+20)</f>
        <v>44548</v>
      </c>
      <c r="I6" s="10">
        <f>IF(DAY(DecSun1)=1,DecSun1+14,DecSun1+21)</f>
        <v>44549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IF(DAY(DecSun1)=1,DecSun1+15,DecSun1+22)</f>
        <v>44550</v>
      </c>
      <c r="D7" s="10">
        <f>IF(DAY(DecSun1)=1,DecSun1+16,DecSun1+23)</f>
        <v>44551</v>
      </c>
      <c r="E7" s="10">
        <f>IF(DAY(DecSun1)=1,DecSun1+17,DecSun1+24)</f>
        <v>44552</v>
      </c>
      <c r="F7" s="10">
        <f>IF(DAY(DecSun1)=1,DecSun1+18,DecSun1+25)</f>
        <v>44553</v>
      </c>
      <c r="G7" s="10">
        <f>IF(DAY(DecSun1)=1,DecSun1+19,DecSun1+26)</f>
        <v>44554</v>
      </c>
      <c r="H7" s="10">
        <f>IF(DAY(DecSun1)=1,DecSun1+20,DecSun1+27)</f>
        <v>44555</v>
      </c>
      <c r="I7" s="10">
        <f>IF(DAY(DecSun1)=1,DecSun1+21,DecSun1+28)</f>
        <v>44556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IF(DAY(DecSun1)=1,DecSun1+22,DecSun1+29)</f>
        <v>44557</v>
      </c>
      <c r="D8" s="10">
        <f>IF(DAY(DecSun1)=1,DecSun1+23,DecSun1+30)</f>
        <v>44558</v>
      </c>
      <c r="E8" s="10">
        <f>IF(DAY(DecSun1)=1,DecSun1+24,DecSun1+31)</f>
        <v>44559</v>
      </c>
      <c r="F8" s="10">
        <f>IF(DAY(DecSun1)=1,DecSun1+25,DecSun1+32)</f>
        <v>44560</v>
      </c>
      <c r="G8" s="10">
        <f>IF(DAY(DecSun1)=1,DecSun1+26,DecSun1+33)</f>
        <v>44561</v>
      </c>
      <c r="H8" s="10">
        <f>IF(DAY(DecSun1)=1,DecSun1+27,DecSun1+34)</f>
        <v>44562</v>
      </c>
      <c r="I8" s="10">
        <f>IF(DAY(DecSun1)=1,DecSun1+28,DecSun1+35)</f>
        <v>44563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IF(DAY(DecSun1)=1,DecSun1+29,DecSun1+36)</f>
        <v>44564</v>
      </c>
      <c r="D9" s="10">
        <f>IF(DAY(DecSun1)=1,DecSun1+30,DecSun1+37)</f>
        <v>44565</v>
      </c>
      <c r="E9" s="10">
        <f>IF(DAY(DecSun1)=1,DecSun1+31,DecSun1+38)</f>
        <v>44566</v>
      </c>
      <c r="F9" s="10">
        <f>IF(DAY(DecSun1)=1,DecSun1+32,DecSun1+39)</f>
        <v>44567</v>
      </c>
      <c r="G9" s="10">
        <f>IF(DAY(DecSun1)=1,DecSun1+33,DecSun1+40)</f>
        <v>44568</v>
      </c>
      <c r="H9" s="10">
        <f>IF(DAY(DecSun1)=1,DecSun1+34,DecSun1+41)</f>
        <v>44569</v>
      </c>
      <c r="I9" s="10">
        <f>IF(DAY(DecSun1)=1,DecSun1+35,DecSun1+42)</f>
        <v>44570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VLOOKUP(DAY(C4),joursdeaffectation,1,FALSE)=DAY(C4)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AO33"/>
  <sheetViews>
    <sheetView showGridLines="0" zoomScaleNormal="100" zoomScalePageLayoutView="84" workbookViewId="0">
      <selection activeCell="S16" sqref="S16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11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IF(DAY(FebSun1)=1,FebSun1-6,FebSun1+1)</f>
        <v>44228</v>
      </c>
      <c r="D4" s="10">
        <f>IF(DAY(FebSun1)=1,FebSun1-5,FebSun1+2)</f>
        <v>44229</v>
      </c>
      <c r="E4" s="10">
        <f>IF(DAY(FebSun1)=1,FebSun1-4,FebSun1+3)</f>
        <v>44230</v>
      </c>
      <c r="F4" s="10">
        <f>IF(DAY(FebSun1)=1,FebSun1-3,FebSun1+4)</f>
        <v>44231</v>
      </c>
      <c r="G4" s="10">
        <f>IF(DAY(FebSun1)=1,FebSun1-2,FebSun1+5)</f>
        <v>44232</v>
      </c>
      <c r="H4" s="10">
        <f>IF(DAY(FebSun1)=1,FebSun1-1,FebSun1+6)</f>
        <v>44233</v>
      </c>
      <c r="I4" s="10">
        <f>IF(DAY(FebSun1)=1,FebSun1,FebSun1+7)</f>
        <v>44234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IF(DAY(FebSun1)=1,FebSun1+1,FebSun1+8)</f>
        <v>44235</v>
      </c>
      <c r="D5" s="10">
        <f>IF(DAY(FebSun1)=1,FebSun1+2,FebSun1+9)</f>
        <v>44236</v>
      </c>
      <c r="E5" s="10">
        <f>IF(DAY(FebSun1)=1,FebSun1+3,FebSun1+10)</f>
        <v>44237</v>
      </c>
      <c r="F5" s="10">
        <f>IF(DAY(FebSun1)=1,FebSun1+4,FebSun1+11)</f>
        <v>44238</v>
      </c>
      <c r="G5" s="10">
        <f>IF(DAY(FebSun1)=1,FebSun1+5,FebSun1+12)</f>
        <v>44239</v>
      </c>
      <c r="H5" s="10">
        <f>IF(DAY(FebSun1)=1,FebSun1+6,FebSun1+13)</f>
        <v>44240</v>
      </c>
      <c r="I5" s="10">
        <f>IF(DAY(FebSun1)=1,FebSun1+7,FebSun1+14)</f>
        <v>44241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IF(DAY(FebSun1)=1,FebSun1+8,FebSun1+15)</f>
        <v>44242</v>
      </c>
      <c r="D6" s="10">
        <f>IF(DAY(FebSun1)=1,FebSun1+9,FebSun1+16)</f>
        <v>44243</v>
      </c>
      <c r="E6" s="10">
        <f>IF(DAY(FebSun1)=1,FebSun1+10,FebSun1+17)</f>
        <v>44244</v>
      </c>
      <c r="F6" s="10">
        <f>IF(DAY(FebSun1)=1,FebSun1+11,FebSun1+18)</f>
        <v>44245</v>
      </c>
      <c r="G6" s="10">
        <f>IF(DAY(FebSun1)=1,FebSun1+12,FebSun1+19)</f>
        <v>44246</v>
      </c>
      <c r="H6" s="10">
        <f>IF(DAY(FebSun1)=1,FebSun1+13,FebSun1+20)</f>
        <v>44247</v>
      </c>
      <c r="I6" s="10">
        <f>IF(DAY(FebSun1)=1,FebSun1+14,FebSun1+21)</f>
        <v>44248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IF(DAY(FebSun1)=1,FebSun1+15,FebSun1+22)</f>
        <v>44249</v>
      </c>
      <c r="D7" s="10">
        <f>IF(DAY(FebSun1)=1,FebSun1+16,FebSun1+23)</f>
        <v>44250</v>
      </c>
      <c r="E7" s="10">
        <f>IF(DAY(FebSun1)=1,FebSun1+17,FebSun1+24)</f>
        <v>44251</v>
      </c>
      <c r="F7" s="10">
        <f>IF(DAY(FebSun1)=1,FebSun1+18,FebSun1+25)</f>
        <v>44252</v>
      </c>
      <c r="G7" s="10">
        <f>IF(DAY(FebSun1)=1,FebSun1+19,FebSun1+26)</f>
        <v>44253</v>
      </c>
      <c r="H7" s="10">
        <f>IF(DAY(FebSun1)=1,FebSun1+20,FebSun1+27)</f>
        <v>44254</v>
      </c>
      <c r="I7" s="10">
        <f>IF(DAY(FebSun1)=1,FebSun1+21,FebSun1+28)</f>
        <v>44255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IF(DAY(FebSun1)=1,FebSun1+22,FebSun1+29)</f>
        <v>44256</v>
      </c>
      <c r="D8" s="10">
        <f>IF(DAY(FebSun1)=1,FebSun1+23,FebSun1+30)</f>
        <v>44257</v>
      </c>
      <c r="E8" s="10">
        <f>IF(DAY(FebSun1)=1,FebSun1+24,FebSun1+31)</f>
        <v>44258</v>
      </c>
      <c r="F8" s="10">
        <f>IF(DAY(FebSun1)=1,FebSun1+25,FebSun1+32)</f>
        <v>44259</v>
      </c>
      <c r="G8" s="10">
        <f>IF(DAY(FebSun1)=1,FebSun1+26,FebSun1+33)</f>
        <v>44260</v>
      </c>
      <c r="H8" s="10">
        <f>IF(DAY(FebSun1)=1,FebSun1+27,FebSun1+34)</f>
        <v>44261</v>
      </c>
      <c r="I8" s="10">
        <f>IF(DAY(FebSun1)=1,FebSun1+28,FebSun1+35)</f>
        <v>44262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IF(DAY(FebSun1)=1,FebSun1+29,FebSun1+36)</f>
        <v>44263</v>
      </c>
      <c r="D9" s="10">
        <f>IF(DAY(FebSun1)=1,FebSun1+30,FebSun1+37)</f>
        <v>44264</v>
      </c>
      <c r="E9" s="10">
        <f>IF(DAY(FebSun1)=1,FebSun1+31,FebSun1+38)</f>
        <v>44265</v>
      </c>
      <c r="F9" s="10">
        <f>IF(DAY(FebSun1)=1,FebSun1+32,FebSun1+39)</f>
        <v>44266</v>
      </c>
      <c r="G9" s="10">
        <f>IF(DAY(FebSun1)=1,FebSun1+33,FebSun1+40)</f>
        <v>44267</v>
      </c>
      <c r="H9" s="10">
        <f>IF(DAY(FebSun1)=1,FebSun1+34,FebSun1+41)</f>
        <v>44268</v>
      </c>
      <c r="I9" s="10">
        <f>IF(DAY(FebSun1)=1,FebSun1+35,FebSun1+42)</f>
        <v>44269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VLOOKUP(DAY(C4),joursdeaffectation,1,FALSE)=DAY(C4)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AO33"/>
  <sheetViews>
    <sheetView showGridLines="0" zoomScaleNormal="100" zoomScalePageLayoutView="84" workbookViewId="0">
      <selection activeCell="I16" sqref="I16:J16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12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IF(DAY(MarSun1)=1,MarSun1-6,MarSun1+1)</f>
        <v>44256</v>
      </c>
      <c r="D4" s="10">
        <f>IF(DAY(MarSun1)=1,MarSun1-5,MarSun1+2)</f>
        <v>44257</v>
      </c>
      <c r="E4" s="10">
        <f>IF(DAY(MarSun1)=1,MarSun1-4,MarSun1+3)</f>
        <v>44258</v>
      </c>
      <c r="F4" s="10">
        <f>IF(DAY(MarSun1)=1,MarSun1-3,MarSun1+4)</f>
        <v>44259</v>
      </c>
      <c r="G4" s="10">
        <f>IF(DAY(MarSun1)=1,MarSun1-2,MarSun1+5)</f>
        <v>44260</v>
      </c>
      <c r="H4" s="10">
        <f>IF(DAY(MarSun1)=1,MarSun1-1,MarSun1+6)</f>
        <v>44261</v>
      </c>
      <c r="I4" s="10">
        <f>IF(DAY(MarSun1)=1,MarSun1,MarSun1+7)</f>
        <v>44262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IF(DAY(MarSun1)=1,MarSun1+1,MarSun1+8)</f>
        <v>44263</v>
      </c>
      <c r="D5" s="10">
        <f>IF(DAY(MarSun1)=1,MarSun1+2,MarSun1+9)</f>
        <v>44264</v>
      </c>
      <c r="E5" s="10">
        <f>IF(DAY(MarSun1)=1,MarSun1+3,MarSun1+10)</f>
        <v>44265</v>
      </c>
      <c r="F5" s="10">
        <f>IF(DAY(MarSun1)=1,MarSun1+4,MarSun1+11)</f>
        <v>44266</v>
      </c>
      <c r="G5" s="10">
        <f>IF(DAY(MarSun1)=1,MarSun1+5,MarSun1+12)</f>
        <v>44267</v>
      </c>
      <c r="H5" s="10">
        <f>IF(DAY(MarSun1)=1,MarSun1+6,MarSun1+13)</f>
        <v>44268</v>
      </c>
      <c r="I5" s="10">
        <f>IF(DAY(MarSun1)=1,MarSun1+7,MarSun1+14)</f>
        <v>44269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IF(DAY(MarSun1)=1,MarSun1+8,MarSun1+15)</f>
        <v>44270</v>
      </c>
      <c r="D6" s="10">
        <f>IF(DAY(MarSun1)=1,MarSun1+9,MarSun1+16)</f>
        <v>44271</v>
      </c>
      <c r="E6" s="10">
        <f>IF(DAY(MarSun1)=1,MarSun1+10,MarSun1+17)</f>
        <v>44272</v>
      </c>
      <c r="F6" s="10">
        <f>IF(DAY(MarSun1)=1,MarSun1+11,MarSun1+18)</f>
        <v>44273</v>
      </c>
      <c r="G6" s="10">
        <f>IF(DAY(MarSun1)=1,MarSun1+12,MarSun1+19)</f>
        <v>44274</v>
      </c>
      <c r="H6" s="10">
        <f>IF(DAY(MarSun1)=1,MarSun1+13,MarSun1+20)</f>
        <v>44275</v>
      </c>
      <c r="I6" s="10">
        <f>IF(DAY(MarSun1)=1,MarSun1+14,MarSun1+21)</f>
        <v>44276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IF(DAY(MarSun1)=1,MarSun1+15,MarSun1+22)</f>
        <v>44277</v>
      </c>
      <c r="D7" s="10">
        <f>IF(DAY(MarSun1)=1,MarSun1+16,MarSun1+23)</f>
        <v>44278</v>
      </c>
      <c r="E7" s="10">
        <f>IF(DAY(MarSun1)=1,MarSun1+17,MarSun1+24)</f>
        <v>44279</v>
      </c>
      <c r="F7" s="10">
        <f>IF(DAY(MarSun1)=1,MarSun1+18,MarSun1+25)</f>
        <v>44280</v>
      </c>
      <c r="G7" s="10">
        <f>IF(DAY(MarSun1)=1,MarSun1+19,MarSun1+26)</f>
        <v>44281</v>
      </c>
      <c r="H7" s="10">
        <f>IF(DAY(MarSun1)=1,MarSun1+20,MarSun1+27)</f>
        <v>44282</v>
      </c>
      <c r="I7" s="10">
        <f>IF(DAY(MarSun1)=1,MarSun1+21,MarSun1+28)</f>
        <v>44283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IF(DAY(MarSun1)=1,MarSun1+22,MarSun1+29)</f>
        <v>44284</v>
      </c>
      <c r="D8" s="10">
        <f>IF(DAY(MarSun1)=1,MarSun1+23,MarSun1+30)</f>
        <v>44285</v>
      </c>
      <c r="E8" s="10">
        <f>IF(DAY(MarSun1)=1,MarSun1+24,MarSun1+31)</f>
        <v>44286</v>
      </c>
      <c r="F8" s="10">
        <f>IF(DAY(MarSun1)=1,MarSun1+25,MarSun1+32)</f>
        <v>44287</v>
      </c>
      <c r="G8" s="10">
        <f>IF(DAY(MarSun1)=1,MarSun1+26,MarSun1+33)</f>
        <v>44288</v>
      </c>
      <c r="H8" s="10">
        <f>IF(DAY(MarSun1)=1,MarSun1+27,MarSun1+34)</f>
        <v>44289</v>
      </c>
      <c r="I8" s="10">
        <f>IF(DAY(MarSun1)=1,MarSun1+28,MarSun1+35)</f>
        <v>44290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IF(DAY(MarSun1)=1,MarSun1+29,MarSun1+36)</f>
        <v>44291</v>
      </c>
      <c r="D9" s="10">
        <f>IF(DAY(MarSun1)=1,MarSun1+30,MarSun1+37)</f>
        <v>44292</v>
      </c>
      <c r="E9" s="10">
        <f>IF(DAY(MarSun1)=1,MarSun1+31,MarSun1+38)</f>
        <v>44293</v>
      </c>
      <c r="F9" s="10">
        <f>IF(DAY(MarSun1)=1,MarSun1+32,MarSun1+39)</f>
        <v>44294</v>
      </c>
      <c r="G9" s="10">
        <f>IF(DAY(MarSun1)=1,MarSun1+33,MarSun1+40)</f>
        <v>44295</v>
      </c>
      <c r="H9" s="10">
        <f>IF(DAY(MarSun1)=1,MarSun1+34,MarSun1+41)</f>
        <v>44296</v>
      </c>
      <c r="I9" s="10">
        <f>IF(DAY(MarSun1)=1,MarSun1+35,MarSun1+42)</f>
        <v>44297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VLOOKUP(DAY(C4),joursdeaffectation,1,FALSE)=DAY(C4)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AO33"/>
  <sheetViews>
    <sheetView showGridLines="0" zoomScaleNormal="100" zoomScalePageLayoutView="84" workbookViewId="0">
      <selection activeCell="M9" sqref="M9:N9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13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IF(DAY(AprSun1)=1,AprSun1-6,AprSun1+1)</f>
        <v>44284</v>
      </c>
      <c r="D4" s="10">
        <f>IF(DAY(AprSun1)=1,AprSun1-5,AprSun1+2)</f>
        <v>44285</v>
      </c>
      <c r="E4" s="10">
        <f>IF(DAY(AprSun1)=1,AprSun1-4,AprSun1+3)</f>
        <v>44286</v>
      </c>
      <c r="F4" s="10">
        <f>IF(DAY(AprSun1)=1,AprSun1-3,AprSun1+4)</f>
        <v>44287</v>
      </c>
      <c r="G4" s="10">
        <f>IF(DAY(AprSun1)=1,AprSun1-2,AprSun1+5)</f>
        <v>44288</v>
      </c>
      <c r="H4" s="10">
        <f>IF(DAY(AprSun1)=1,AprSun1-1,AprSun1+6)</f>
        <v>44289</v>
      </c>
      <c r="I4" s="10">
        <f>IF(DAY(AprSun1)=1,AprSun1,AprSun1+7)</f>
        <v>44290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IF(DAY(AprSun1)=1,AprSun1+1,AprSun1+8)</f>
        <v>44291</v>
      </c>
      <c r="D5" s="10">
        <f>IF(DAY(AprSun1)=1,AprSun1+2,AprSun1+9)</f>
        <v>44292</v>
      </c>
      <c r="E5" s="10">
        <f>IF(DAY(AprSun1)=1,AprSun1+3,AprSun1+10)</f>
        <v>44293</v>
      </c>
      <c r="F5" s="10">
        <f>IF(DAY(AprSun1)=1,AprSun1+4,AprSun1+11)</f>
        <v>44294</v>
      </c>
      <c r="G5" s="10">
        <f>IF(DAY(AprSun1)=1,AprSun1+5,AprSun1+12)</f>
        <v>44295</v>
      </c>
      <c r="H5" s="10">
        <f>IF(DAY(AprSun1)=1,AprSun1+6,AprSun1+13)</f>
        <v>44296</v>
      </c>
      <c r="I5" s="10">
        <f>IF(DAY(AprSun1)=1,AprSun1+7,AprSun1+14)</f>
        <v>44297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IF(DAY(AprSun1)=1,AprSun1+8,AprSun1+15)</f>
        <v>44298</v>
      </c>
      <c r="D6" s="10">
        <f>IF(DAY(AprSun1)=1,AprSun1+9,AprSun1+16)</f>
        <v>44299</v>
      </c>
      <c r="E6" s="10">
        <f>IF(DAY(AprSun1)=1,AprSun1+10,AprSun1+17)</f>
        <v>44300</v>
      </c>
      <c r="F6" s="10">
        <f>IF(DAY(AprSun1)=1,AprSun1+11,AprSun1+18)</f>
        <v>44301</v>
      </c>
      <c r="G6" s="10">
        <f>IF(DAY(AprSun1)=1,AprSun1+12,AprSun1+19)</f>
        <v>44302</v>
      </c>
      <c r="H6" s="10">
        <f>IF(DAY(AprSun1)=1,AprSun1+13,AprSun1+20)</f>
        <v>44303</v>
      </c>
      <c r="I6" s="10">
        <f>IF(DAY(AprSun1)=1,AprSun1+14,AprSun1+21)</f>
        <v>44304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IF(DAY(AprSun1)=1,AprSun1+15,AprSun1+22)</f>
        <v>44305</v>
      </c>
      <c r="D7" s="10">
        <f>IF(DAY(AprSun1)=1,AprSun1+16,AprSun1+23)</f>
        <v>44306</v>
      </c>
      <c r="E7" s="10">
        <f>IF(DAY(AprSun1)=1,AprSun1+17,AprSun1+24)</f>
        <v>44307</v>
      </c>
      <c r="F7" s="10">
        <f>IF(DAY(AprSun1)=1,AprSun1+18,AprSun1+25)</f>
        <v>44308</v>
      </c>
      <c r="G7" s="10">
        <f>IF(DAY(AprSun1)=1,AprSun1+19,AprSun1+26)</f>
        <v>44309</v>
      </c>
      <c r="H7" s="10">
        <f>IF(DAY(AprSun1)=1,AprSun1+20,AprSun1+27)</f>
        <v>44310</v>
      </c>
      <c r="I7" s="10">
        <f>IF(DAY(AprSun1)=1,AprSun1+21,AprSun1+28)</f>
        <v>44311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IF(DAY(AprSun1)=1,AprSun1+22,AprSun1+29)</f>
        <v>44312</v>
      </c>
      <c r="D8" s="10">
        <f>IF(DAY(AprSun1)=1,AprSun1+23,AprSun1+30)</f>
        <v>44313</v>
      </c>
      <c r="E8" s="10">
        <f>IF(DAY(AprSun1)=1,AprSun1+24,AprSun1+31)</f>
        <v>44314</v>
      </c>
      <c r="F8" s="10">
        <f>IF(DAY(AprSun1)=1,AprSun1+25,AprSun1+32)</f>
        <v>44315</v>
      </c>
      <c r="G8" s="10">
        <f>IF(DAY(AprSun1)=1,AprSun1+26,AprSun1+33)</f>
        <v>44316</v>
      </c>
      <c r="H8" s="10">
        <f>IF(DAY(AprSun1)=1,AprSun1+27,AprSun1+34)</f>
        <v>44317</v>
      </c>
      <c r="I8" s="10">
        <f>IF(DAY(AprSun1)=1,AprSun1+28,AprSun1+35)</f>
        <v>44318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IF(DAY(AprSun1)=1,AprSun1+29,AprSun1+36)</f>
        <v>44319</v>
      </c>
      <c r="D9" s="10">
        <f>IF(DAY(AprSun1)=1,AprSun1+30,AprSun1+37)</f>
        <v>44320</v>
      </c>
      <c r="E9" s="10">
        <f>IF(DAY(AprSun1)=1,AprSun1+31,AprSun1+38)</f>
        <v>44321</v>
      </c>
      <c r="F9" s="10">
        <f>IF(DAY(AprSun1)=1,AprSun1+32,AprSun1+39)</f>
        <v>44322</v>
      </c>
      <c r="G9" s="10">
        <f>IF(DAY(AprSun1)=1,AprSun1+33,AprSun1+40)</f>
        <v>44323</v>
      </c>
      <c r="H9" s="10">
        <f>IF(DAY(AprSun1)=1,AprSun1+34,AprSun1+41)</f>
        <v>44324</v>
      </c>
      <c r="I9" s="10">
        <f>IF(DAY(AprSun1)=1,AprSun1+35,AprSun1+42)</f>
        <v>44325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VLOOKUP(DAY(C4),joursdeaffectation,1,FALSE)=DAY(C4)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AO33"/>
  <sheetViews>
    <sheetView showGridLines="0" zoomScaleNormal="100" zoomScalePageLayoutView="84" workbookViewId="0">
      <selection activeCell="M17" sqref="M17:N1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14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IF(DAY(MaySun1)=1,MaySun1-6,MaySun1+1)</f>
        <v>44312</v>
      </c>
      <c r="D4" s="10">
        <f>IF(DAY(MaySun1)=1,MaySun1-5,MaySun1+2)</f>
        <v>44313</v>
      </c>
      <c r="E4" s="10">
        <f>IF(DAY(MaySun1)=1,MaySun1-4,MaySun1+3)</f>
        <v>44314</v>
      </c>
      <c r="F4" s="10">
        <f>IF(DAY(MaySun1)=1,MaySun1-3,MaySun1+4)</f>
        <v>44315</v>
      </c>
      <c r="G4" s="10">
        <f>IF(DAY(MaySun1)=1,MaySun1-2,MaySun1+5)</f>
        <v>44316</v>
      </c>
      <c r="H4" s="10">
        <f>IF(DAY(MaySun1)=1,MaySun1-1,MaySun1+6)</f>
        <v>44317</v>
      </c>
      <c r="I4" s="10">
        <f>IF(DAY(MaySun1)=1,MaySun1,MaySun1+7)</f>
        <v>44318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IF(DAY(MaySun1)=1,MaySun1+1,MaySun1+8)</f>
        <v>44319</v>
      </c>
      <c r="D5" s="10">
        <f>IF(DAY(MaySun1)=1,MaySun1+2,MaySun1+9)</f>
        <v>44320</v>
      </c>
      <c r="E5" s="10">
        <f>IF(DAY(MaySun1)=1,MaySun1+3,MaySun1+10)</f>
        <v>44321</v>
      </c>
      <c r="F5" s="10">
        <f>IF(DAY(MaySun1)=1,MaySun1+4,MaySun1+11)</f>
        <v>44322</v>
      </c>
      <c r="G5" s="10">
        <f>IF(DAY(MaySun1)=1,MaySun1+5,MaySun1+12)</f>
        <v>44323</v>
      </c>
      <c r="H5" s="10">
        <f>IF(DAY(MaySun1)=1,MaySun1+6,MaySun1+13)</f>
        <v>44324</v>
      </c>
      <c r="I5" s="10">
        <f>IF(DAY(MaySun1)=1,MaySun1+7,MaySun1+14)</f>
        <v>44325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IF(DAY(MaySun1)=1,MaySun1+8,MaySun1+15)</f>
        <v>44326</v>
      </c>
      <c r="D6" s="10">
        <f>IF(DAY(MaySun1)=1,MaySun1+9,MaySun1+16)</f>
        <v>44327</v>
      </c>
      <c r="E6" s="10">
        <f>IF(DAY(MaySun1)=1,MaySun1+10,MaySun1+17)</f>
        <v>44328</v>
      </c>
      <c r="F6" s="10">
        <f>IF(DAY(MaySun1)=1,MaySun1+11,MaySun1+18)</f>
        <v>44329</v>
      </c>
      <c r="G6" s="10">
        <f>IF(DAY(MaySun1)=1,MaySun1+12,MaySun1+19)</f>
        <v>44330</v>
      </c>
      <c r="H6" s="10">
        <f>IF(DAY(MaySun1)=1,MaySun1+13,MaySun1+20)</f>
        <v>44331</v>
      </c>
      <c r="I6" s="10">
        <f>IF(DAY(MaySun1)=1,MaySun1+14,MaySun1+21)</f>
        <v>44332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IF(DAY(MaySun1)=1,MaySun1+15,MaySun1+22)</f>
        <v>44333</v>
      </c>
      <c r="D7" s="10">
        <f>IF(DAY(MaySun1)=1,MaySun1+16,MaySun1+23)</f>
        <v>44334</v>
      </c>
      <c r="E7" s="10">
        <f>IF(DAY(MaySun1)=1,MaySun1+17,MaySun1+24)</f>
        <v>44335</v>
      </c>
      <c r="F7" s="10">
        <f>IF(DAY(MaySun1)=1,MaySun1+18,MaySun1+25)</f>
        <v>44336</v>
      </c>
      <c r="G7" s="10">
        <f>IF(DAY(MaySun1)=1,MaySun1+19,MaySun1+26)</f>
        <v>44337</v>
      </c>
      <c r="H7" s="10">
        <f>IF(DAY(MaySun1)=1,MaySun1+20,MaySun1+27)</f>
        <v>44338</v>
      </c>
      <c r="I7" s="10">
        <f>IF(DAY(MaySun1)=1,MaySun1+21,MaySun1+28)</f>
        <v>44339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IF(DAY(MaySun1)=1,MaySun1+22,MaySun1+29)</f>
        <v>44340</v>
      </c>
      <c r="D8" s="10">
        <f>IF(DAY(MaySun1)=1,MaySun1+23,MaySun1+30)</f>
        <v>44341</v>
      </c>
      <c r="E8" s="10">
        <f>IF(DAY(MaySun1)=1,MaySun1+24,MaySun1+31)</f>
        <v>44342</v>
      </c>
      <c r="F8" s="10">
        <f>IF(DAY(MaySun1)=1,MaySun1+25,MaySun1+32)</f>
        <v>44343</v>
      </c>
      <c r="G8" s="10">
        <f>IF(DAY(MaySun1)=1,MaySun1+26,MaySun1+33)</f>
        <v>44344</v>
      </c>
      <c r="H8" s="10">
        <f>IF(DAY(MaySun1)=1,MaySun1+27,MaySun1+34)</f>
        <v>44345</v>
      </c>
      <c r="I8" s="10">
        <f>IF(DAY(MaySun1)=1,MaySun1+28,MaySun1+35)</f>
        <v>44346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IF(DAY(MaySun1)=1,MaySun1+29,MaySun1+36)</f>
        <v>44347</v>
      </c>
      <c r="D9" s="10">
        <f>IF(DAY(MaySun1)=1,MaySun1+30,MaySun1+37)</f>
        <v>44348</v>
      </c>
      <c r="E9" s="10">
        <f>IF(DAY(MaySun1)=1,MaySun1+31,MaySun1+38)</f>
        <v>44349</v>
      </c>
      <c r="F9" s="10">
        <f>IF(DAY(MaySun1)=1,MaySun1+32,MaySun1+39)</f>
        <v>44350</v>
      </c>
      <c r="G9" s="10">
        <f>IF(DAY(MaySun1)=1,MaySun1+33,MaySun1+40)</f>
        <v>44351</v>
      </c>
      <c r="H9" s="10">
        <f>IF(DAY(MaySun1)=1,MaySun1+34,MaySun1+41)</f>
        <v>44352</v>
      </c>
      <c r="I9" s="10">
        <f>IF(DAY(MaySun1)=1,MaySun1+35,MaySun1+42)</f>
        <v>44353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VLOOKUP(DAY(C4),joursdeaffectation,1,FALSE)=DAY(C4)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AO33"/>
  <sheetViews>
    <sheetView showGridLines="0" zoomScaleNormal="100" zoomScalePageLayoutView="84" workbookViewId="0">
      <selection activeCell="K2" sqref="K2:M3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15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IF(DAY(JunSun1)=1,JunSun1-6,JunSun1+1)</f>
        <v>44347</v>
      </c>
      <c r="D4" s="10">
        <f>IF(DAY(JunSun1)=1,JunSun1-5,JunSun1+2)</f>
        <v>44348</v>
      </c>
      <c r="E4" s="10">
        <f>IF(DAY(JunSun1)=1,JunSun1-4,JunSun1+3)</f>
        <v>44349</v>
      </c>
      <c r="F4" s="10">
        <f>IF(DAY(JunSun1)=1,JunSun1-3,JunSun1+4)</f>
        <v>44350</v>
      </c>
      <c r="G4" s="10">
        <f>IF(DAY(JunSun1)=1,JunSun1-2,JunSun1+5)</f>
        <v>44351</v>
      </c>
      <c r="H4" s="10">
        <f>IF(DAY(JunSun1)=1,JunSun1-1,JunSun1+6)</f>
        <v>44352</v>
      </c>
      <c r="I4" s="10">
        <f>IF(DAY(JunSun1)=1,JunSun1,JunSun1+7)</f>
        <v>44353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IF(DAY(JunSun1)=1,JunSun1+1,JunSun1+8)</f>
        <v>44354</v>
      </c>
      <c r="D5" s="10">
        <f>IF(DAY(JunSun1)=1,JunSun1+2,JunSun1+9)</f>
        <v>44355</v>
      </c>
      <c r="E5" s="10">
        <f>IF(DAY(JunSun1)=1,JunSun1+3,JunSun1+10)</f>
        <v>44356</v>
      </c>
      <c r="F5" s="10">
        <f>IF(DAY(JunSun1)=1,JunSun1+4,JunSun1+11)</f>
        <v>44357</v>
      </c>
      <c r="G5" s="10">
        <f>IF(DAY(JunSun1)=1,JunSun1+5,JunSun1+12)</f>
        <v>44358</v>
      </c>
      <c r="H5" s="10">
        <f>IF(DAY(JunSun1)=1,JunSun1+6,JunSun1+13)</f>
        <v>44359</v>
      </c>
      <c r="I5" s="10">
        <f>IF(DAY(JunSun1)=1,JunSun1+7,JunSun1+14)</f>
        <v>44360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IF(DAY(JunSun1)=1,JunSun1+8,JunSun1+15)</f>
        <v>44361</v>
      </c>
      <c r="D6" s="10">
        <f>IF(DAY(JunSun1)=1,JunSun1+9,JunSun1+16)</f>
        <v>44362</v>
      </c>
      <c r="E6" s="10">
        <f>IF(DAY(JunSun1)=1,JunSun1+10,JunSun1+17)</f>
        <v>44363</v>
      </c>
      <c r="F6" s="10">
        <f>IF(DAY(JunSun1)=1,JunSun1+11,JunSun1+18)</f>
        <v>44364</v>
      </c>
      <c r="G6" s="10">
        <f>IF(DAY(JunSun1)=1,JunSun1+12,JunSun1+19)</f>
        <v>44365</v>
      </c>
      <c r="H6" s="10">
        <f>IF(DAY(JunSun1)=1,JunSun1+13,JunSun1+20)</f>
        <v>44366</v>
      </c>
      <c r="I6" s="10">
        <f>IF(DAY(JunSun1)=1,JunSun1+14,JunSun1+21)</f>
        <v>44367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IF(DAY(JunSun1)=1,JunSun1+15,JunSun1+22)</f>
        <v>44368</v>
      </c>
      <c r="D7" s="10">
        <f>IF(DAY(JunSun1)=1,JunSun1+16,JunSun1+23)</f>
        <v>44369</v>
      </c>
      <c r="E7" s="10">
        <f>IF(DAY(JunSun1)=1,JunSun1+17,JunSun1+24)</f>
        <v>44370</v>
      </c>
      <c r="F7" s="10">
        <f>IF(DAY(JunSun1)=1,JunSun1+18,JunSun1+25)</f>
        <v>44371</v>
      </c>
      <c r="G7" s="10">
        <f>IF(DAY(JunSun1)=1,JunSun1+19,JunSun1+26)</f>
        <v>44372</v>
      </c>
      <c r="H7" s="10">
        <f>IF(DAY(JunSun1)=1,JunSun1+20,JunSun1+27)</f>
        <v>44373</v>
      </c>
      <c r="I7" s="10">
        <f>IF(DAY(JunSun1)=1,JunSun1+21,JunSun1+28)</f>
        <v>44374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IF(DAY(JunSun1)=1,JunSun1+22,JunSun1+29)</f>
        <v>44375</v>
      </c>
      <c r="D8" s="10">
        <f>IF(DAY(JunSun1)=1,JunSun1+23,JunSun1+30)</f>
        <v>44376</v>
      </c>
      <c r="E8" s="10">
        <f>IF(DAY(JunSun1)=1,JunSun1+24,JunSun1+31)</f>
        <v>44377</v>
      </c>
      <c r="F8" s="10">
        <f>IF(DAY(JunSun1)=1,JunSun1+25,JunSun1+32)</f>
        <v>44378</v>
      </c>
      <c r="G8" s="10">
        <f>IF(DAY(JunSun1)=1,JunSun1+26,JunSun1+33)</f>
        <v>44379</v>
      </c>
      <c r="H8" s="10">
        <f>IF(DAY(JunSun1)=1,JunSun1+27,JunSun1+34)</f>
        <v>44380</v>
      </c>
      <c r="I8" s="10">
        <f>IF(DAY(JunSun1)=1,JunSun1+28,JunSun1+35)</f>
        <v>44381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IF(DAY(JunSun1)=1,JunSun1+29,JunSun1+36)</f>
        <v>44382</v>
      </c>
      <c r="D9" s="10">
        <f>IF(DAY(JunSun1)=1,JunSun1+30,JunSun1+37)</f>
        <v>44383</v>
      </c>
      <c r="E9" s="10">
        <f>IF(DAY(JunSun1)=1,JunSun1+31,JunSun1+38)</f>
        <v>44384</v>
      </c>
      <c r="F9" s="10">
        <f>IF(DAY(JunSun1)=1,JunSun1+32,JunSun1+39)</f>
        <v>44385</v>
      </c>
      <c r="G9" s="10">
        <f>IF(DAY(JunSun1)=1,JunSun1+33,JunSun1+40)</f>
        <v>44386</v>
      </c>
      <c r="H9" s="10">
        <f>IF(DAY(JunSun1)=1,JunSun1+34,JunSun1+41)</f>
        <v>44387</v>
      </c>
      <c r="I9" s="10">
        <f>IF(DAY(JunSun1)=1,JunSun1+35,JunSun1+42)</f>
        <v>44388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VLOOKUP(DAY(C4),joursdeaffectation,1,FALSE)=DAY(C4)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AO33"/>
  <sheetViews>
    <sheetView showGridLines="0" topLeftCell="C1" zoomScaleNormal="100" zoomScalePageLayoutView="84" workbookViewId="0">
      <selection activeCell="Q9" sqref="Q9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16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IF(DAY(JulSun1)=1,JulSun1-6,JulSun1+1)</f>
        <v>44375</v>
      </c>
      <c r="D4" s="10">
        <f>IF(DAY(JulSun1)=1,JulSun1-5,JulSun1+2)</f>
        <v>44376</v>
      </c>
      <c r="E4" s="10">
        <f>IF(DAY(JulSun1)=1,JulSun1-4,JulSun1+3)</f>
        <v>44377</v>
      </c>
      <c r="F4" s="10">
        <f>IF(DAY(JulSun1)=1,JulSun1-3,JulSun1+4)</f>
        <v>44378</v>
      </c>
      <c r="G4" s="10">
        <f>IF(DAY(JulSun1)=1,JulSun1-2,JulSun1+5)</f>
        <v>44379</v>
      </c>
      <c r="H4" s="10">
        <f>IF(DAY(JulSun1)=1,JulSun1-1,JulSun1+6)</f>
        <v>44380</v>
      </c>
      <c r="I4" s="10">
        <f>IF(DAY(JulSun1)=1,JulSun1,JulSun1+7)</f>
        <v>44381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IF(DAY(JulSun1)=1,JulSun1+1,JulSun1+8)</f>
        <v>44382</v>
      </c>
      <c r="D5" s="10">
        <f>IF(DAY(JulSun1)=1,JulSun1+2,JulSun1+9)</f>
        <v>44383</v>
      </c>
      <c r="E5" s="10">
        <f>IF(DAY(JulSun1)=1,JulSun1+3,JulSun1+10)</f>
        <v>44384</v>
      </c>
      <c r="F5" s="10">
        <f>IF(DAY(JulSun1)=1,JulSun1+4,JulSun1+11)</f>
        <v>44385</v>
      </c>
      <c r="G5" s="10">
        <f>IF(DAY(JulSun1)=1,JulSun1+5,JulSun1+12)</f>
        <v>44386</v>
      </c>
      <c r="H5" s="10">
        <f>IF(DAY(JulSun1)=1,JulSun1+6,JulSun1+13)</f>
        <v>44387</v>
      </c>
      <c r="I5" s="10">
        <f>IF(DAY(JulSun1)=1,JulSun1+7,JulSun1+14)</f>
        <v>44388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IF(DAY(JulSun1)=1,JulSun1+8,JulSun1+15)</f>
        <v>44389</v>
      </c>
      <c r="D6" s="10">
        <f>IF(DAY(JulSun1)=1,JulSun1+9,JulSun1+16)</f>
        <v>44390</v>
      </c>
      <c r="E6" s="10">
        <f>IF(DAY(JulSun1)=1,JulSun1+10,JulSun1+17)</f>
        <v>44391</v>
      </c>
      <c r="F6" s="10">
        <f>IF(DAY(JulSun1)=1,JulSun1+11,JulSun1+18)</f>
        <v>44392</v>
      </c>
      <c r="G6" s="10">
        <f>IF(DAY(JulSun1)=1,JulSun1+12,JulSun1+19)</f>
        <v>44393</v>
      </c>
      <c r="H6" s="10">
        <f>IF(DAY(JulSun1)=1,JulSun1+13,JulSun1+20)</f>
        <v>44394</v>
      </c>
      <c r="I6" s="10">
        <f>IF(DAY(JulSun1)=1,JulSun1+14,JulSun1+21)</f>
        <v>44395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IF(DAY(JulSun1)=1,JulSun1+15,JulSun1+22)</f>
        <v>44396</v>
      </c>
      <c r="D7" s="10">
        <f>IF(DAY(JulSun1)=1,JulSun1+16,JulSun1+23)</f>
        <v>44397</v>
      </c>
      <c r="E7" s="10">
        <f>IF(DAY(JulSun1)=1,JulSun1+17,JulSun1+24)</f>
        <v>44398</v>
      </c>
      <c r="F7" s="10">
        <f>IF(DAY(JulSun1)=1,JulSun1+18,JulSun1+25)</f>
        <v>44399</v>
      </c>
      <c r="G7" s="10">
        <f>IF(DAY(JulSun1)=1,JulSun1+19,JulSun1+26)</f>
        <v>44400</v>
      </c>
      <c r="H7" s="10">
        <f>IF(DAY(JulSun1)=1,JulSun1+20,JulSun1+27)</f>
        <v>44401</v>
      </c>
      <c r="I7" s="10">
        <f>IF(DAY(JulSun1)=1,JulSun1+21,JulSun1+28)</f>
        <v>44402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IF(DAY(JulSun1)=1,JulSun1+22,JulSun1+29)</f>
        <v>44403</v>
      </c>
      <c r="D8" s="10">
        <f>IF(DAY(JulSun1)=1,JulSun1+23,JulSun1+30)</f>
        <v>44404</v>
      </c>
      <c r="E8" s="10">
        <f>IF(DAY(JulSun1)=1,JulSun1+24,JulSun1+31)</f>
        <v>44405</v>
      </c>
      <c r="F8" s="10">
        <f>IF(DAY(JulSun1)=1,JulSun1+25,JulSun1+32)</f>
        <v>44406</v>
      </c>
      <c r="G8" s="10">
        <f>IF(DAY(JulSun1)=1,JulSun1+26,JulSun1+33)</f>
        <v>44407</v>
      </c>
      <c r="H8" s="10">
        <f>IF(DAY(JulSun1)=1,JulSun1+27,JulSun1+34)</f>
        <v>44408</v>
      </c>
      <c r="I8" s="10">
        <f>IF(DAY(JulSun1)=1,JulSun1+28,JulSun1+35)</f>
        <v>44409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IF(DAY(JulSun1)=1,JulSun1+29,JulSun1+36)</f>
        <v>44410</v>
      </c>
      <c r="D9" s="10">
        <f>IF(DAY(JulSun1)=1,JulSun1+30,JulSun1+37)</f>
        <v>44411</v>
      </c>
      <c r="E9" s="10">
        <f>IF(DAY(JulSun1)=1,JulSun1+31,JulSun1+38)</f>
        <v>44412</v>
      </c>
      <c r="F9" s="10">
        <f>IF(DAY(JulSun1)=1,JulSun1+32,JulSun1+39)</f>
        <v>44413</v>
      </c>
      <c r="G9" s="10">
        <f>IF(DAY(JulSun1)=1,JulSun1+33,JulSun1+40)</f>
        <v>44414</v>
      </c>
      <c r="H9" s="10">
        <f>IF(DAY(JulSun1)=1,JulSun1+34,JulSun1+41)</f>
        <v>44415</v>
      </c>
      <c r="I9" s="10">
        <f>IF(DAY(JulSun1)=1,JulSun1+35,JulSun1+42)</f>
        <v>44416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VLOOKUP(DAY(C4),joursdeaffectation,1,FALSE)=DAY(C4)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AO33"/>
  <sheetViews>
    <sheetView showGridLines="0" zoomScaleNormal="100" zoomScalePageLayoutView="84" workbookViewId="0">
      <selection activeCell="M20" sqref="M20:N20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17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IF(DAY(AugSun1)=1,AugSun1-6,AugSun1+1)</f>
        <v>44403</v>
      </c>
      <c r="D4" s="10">
        <f>IF(DAY(AugSun1)=1,AugSun1-5,AugSun1+2)</f>
        <v>44404</v>
      </c>
      <c r="E4" s="10">
        <f>IF(DAY(AugSun1)=1,AugSun1-4,AugSun1+3)</f>
        <v>44405</v>
      </c>
      <c r="F4" s="10">
        <f>IF(DAY(AugSun1)=1,AugSun1-3,AugSun1+4)</f>
        <v>44406</v>
      </c>
      <c r="G4" s="10">
        <f>IF(DAY(AugSun1)=1,AugSun1-2,AugSun1+5)</f>
        <v>44407</v>
      </c>
      <c r="H4" s="10">
        <f>IF(DAY(AugSun1)=1,AugSun1-1,AugSun1+6)</f>
        <v>44408</v>
      </c>
      <c r="I4" s="10">
        <f>IF(DAY(AugSun1)=1,AugSun1,AugSun1+7)</f>
        <v>44409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IF(DAY(AugSun1)=1,AugSun1+1,AugSun1+8)</f>
        <v>44410</v>
      </c>
      <c r="D5" s="10">
        <f>IF(DAY(AugSun1)=1,AugSun1+2,AugSun1+9)</f>
        <v>44411</v>
      </c>
      <c r="E5" s="10">
        <f>IF(DAY(AugSun1)=1,AugSun1+3,AugSun1+10)</f>
        <v>44412</v>
      </c>
      <c r="F5" s="10">
        <f>IF(DAY(AugSun1)=1,AugSun1+4,AugSun1+11)</f>
        <v>44413</v>
      </c>
      <c r="G5" s="10">
        <f>IF(DAY(AugSun1)=1,AugSun1+5,AugSun1+12)</f>
        <v>44414</v>
      </c>
      <c r="H5" s="10">
        <f>IF(DAY(AugSun1)=1,AugSun1+6,AugSun1+13)</f>
        <v>44415</v>
      </c>
      <c r="I5" s="10">
        <f>IF(DAY(AugSun1)=1,AugSun1+7,AugSun1+14)</f>
        <v>44416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IF(DAY(AugSun1)=1,AugSun1+8,AugSun1+15)</f>
        <v>44417</v>
      </c>
      <c r="D6" s="10">
        <f>IF(DAY(AugSun1)=1,AugSun1+9,AugSun1+16)</f>
        <v>44418</v>
      </c>
      <c r="E6" s="10">
        <f>IF(DAY(AugSun1)=1,AugSun1+10,AugSun1+17)</f>
        <v>44419</v>
      </c>
      <c r="F6" s="10">
        <f>IF(DAY(AugSun1)=1,AugSun1+11,AugSun1+18)</f>
        <v>44420</v>
      </c>
      <c r="G6" s="10">
        <f>IF(DAY(AugSun1)=1,AugSun1+12,AugSun1+19)</f>
        <v>44421</v>
      </c>
      <c r="H6" s="10">
        <f>IF(DAY(AugSun1)=1,AugSun1+13,AugSun1+20)</f>
        <v>44422</v>
      </c>
      <c r="I6" s="10">
        <f>IF(DAY(AugSun1)=1,AugSun1+14,AugSun1+21)</f>
        <v>44423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IF(DAY(AugSun1)=1,AugSun1+15,AugSun1+22)</f>
        <v>44424</v>
      </c>
      <c r="D7" s="10">
        <f>IF(DAY(AugSun1)=1,AugSun1+16,AugSun1+23)</f>
        <v>44425</v>
      </c>
      <c r="E7" s="10">
        <f>IF(DAY(AugSun1)=1,AugSun1+17,AugSun1+24)</f>
        <v>44426</v>
      </c>
      <c r="F7" s="10">
        <f>IF(DAY(AugSun1)=1,AugSun1+18,AugSun1+25)</f>
        <v>44427</v>
      </c>
      <c r="G7" s="10">
        <f>IF(DAY(AugSun1)=1,AugSun1+19,AugSun1+26)</f>
        <v>44428</v>
      </c>
      <c r="H7" s="10">
        <f>IF(DAY(AugSun1)=1,AugSun1+20,AugSun1+27)</f>
        <v>44429</v>
      </c>
      <c r="I7" s="10">
        <f>IF(DAY(AugSun1)=1,AugSun1+21,AugSun1+28)</f>
        <v>44430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IF(DAY(AugSun1)=1,AugSun1+22,AugSun1+29)</f>
        <v>44431</v>
      </c>
      <c r="D8" s="10">
        <f>IF(DAY(AugSun1)=1,AugSun1+23,AugSun1+30)</f>
        <v>44432</v>
      </c>
      <c r="E8" s="10">
        <f>IF(DAY(AugSun1)=1,AugSun1+24,AugSun1+31)</f>
        <v>44433</v>
      </c>
      <c r="F8" s="10">
        <f>IF(DAY(AugSun1)=1,AugSun1+25,AugSun1+32)</f>
        <v>44434</v>
      </c>
      <c r="G8" s="10">
        <f>IF(DAY(AugSun1)=1,AugSun1+26,AugSun1+33)</f>
        <v>44435</v>
      </c>
      <c r="H8" s="10">
        <f>IF(DAY(AugSun1)=1,AugSun1+27,AugSun1+34)</f>
        <v>44436</v>
      </c>
      <c r="I8" s="10">
        <f>IF(DAY(AugSun1)=1,AugSun1+28,AugSun1+35)</f>
        <v>44437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IF(DAY(AugSun1)=1,AugSun1+29,AugSun1+36)</f>
        <v>44438</v>
      </c>
      <c r="D9" s="10">
        <f>IF(DAY(AugSun1)=1,AugSun1+30,AugSun1+37)</f>
        <v>44439</v>
      </c>
      <c r="E9" s="10">
        <f>IF(DAY(AugSun1)=1,AugSun1+31,AugSun1+38)</f>
        <v>44440</v>
      </c>
      <c r="F9" s="10">
        <f>IF(DAY(AugSun1)=1,AugSun1+32,AugSun1+39)</f>
        <v>44441</v>
      </c>
      <c r="G9" s="10">
        <f>IF(DAY(AugSun1)=1,AugSun1+33,AugSun1+40)</f>
        <v>44442</v>
      </c>
      <c r="H9" s="10">
        <f>IF(DAY(AugSun1)=1,AugSun1+34,AugSun1+41)</f>
        <v>44443</v>
      </c>
      <c r="I9" s="10">
        <f>IF(DAY(AugSun1)=1,AugSun1+35,AugSun1+42)</f>
        <v>44444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VLOOKUP(DAY(C4),joursdeaffectation,1,FALSE)=DAY(C4)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AO33"/>
  <sheetViews>
    <sheetView showGridLines="0" zoomScaleNormal="100" zoomScalePageLayoutView="84" workbookViewId="0">
      <selection activeCell="P6" sqref="P6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112" t="s">
        <v>18</v>
      </c>
      <c r="C2" s="21"/>
      <c r="D2" s="21"/>
      <c r="E2" s="21"/>
      <c r="F2" s="21"/>
      <c r="G2" s="21"/>
      <c r="H2" s="21"/>
      <c r="I2" s="21"/>
      <c r="J2" s="22"/>
      <c r="K2" s="115" t="s">
        <v>24</v>
      </c>
      <c r="L2" s="116">
        <v>2013</v>
      </c>
      <c r="M2" s="116"/>
      <c r="N2" s="126">
        <f>Annéecivile</f>
        <v>2021</v>
      </c>
    </row>
    <row r="3" spans="1:14" ht="21" customHeight="1" x14ac:dyDescent="0.2">
      <c r="A3" s="4"/>
      <c r="B3" s="113"/>
      <c r="C3" s="2" t="s">
        <v>1</v>
      </c>
      <c r="D3" s="2" t="s">
        <v>2</v>
      </c>
      <c r="E3" s="2" t="s">
        <v>2</v>
      </c>
      <c r="F3" s="2" t="s">
        <v>22</v>
      </c>
      <c r="G3" s="2" t="s">
        <v>4</v>
      </c>
      <c r="H3" s="2" t="s">
        <v>23</v>
      </c>
      <c r="I3" s="2" t="s">
        <v>0</v>
      </c>
      <c r="J3" s="5"/>
      <c r="K3" s="117"/>
      <c r="L3" s="118"/>
      <c r="M3" s="118"/>
      <c r="N3" s="127"/>
    </row>
    <row r="4" spans="1:14" ht="18" customHeight="1" x14ac:dyDescent="0.2">
      <c r="A4" s="4"/>
      <c r="B4" s="113"/>
      <c r="C4" s="10">
        <f>IF(DAY(SepSun1)=1,SepSun1-6,SepSun1+1)</f>
        <v>44438</v>
      </c>
      <c r="D4" s="10">
        <f>IF(DAY(SepSun1)=1,SepSun1-5,SepSun1+2)</f>
        <v>44439</v>
      </c>
      <c r="E4" s="10">
        <f>IF(DAY(SepSun1)=1,SepSun1-4,SepSun1+3)</f>
        <v>44440</v>
      </c>
      <c r="F4" s="10">
        <f>IF(DAY(SepSun1)=1,SepSun1-3,SepSun1+4)</f>
        <v>44441</v>
      </c>
      <c r="G4" s="10">
        <f>IF(DAY(SepSun1)=1,SepSun1-2,SepSun1+5)</f>
        <v>44442</v>
      </c>
      <c r="H4" s="10">
        <f>IF(DAY(SepSun1)=1,SepSun1-1,SepSun1+6)</f>
        <v>44443</v>
      </c>
      <c r="I4" s="10">
        <f>IF(DAY(SepSun1)=1,SepSun1,SepSun1+7)</f>
        <v>44444</v>
      </c>
      <c r="J4" s="5"/>
      <c r="K4" s="119" t="s">
        <v>5</v>
      </c>
      <c r="L4" s="16"/>
      <c r="M4" s="121"/>
      <c r="N4" s="122"/>
    </row>
    <row r="5" spans="1:14" ht="18" customHeight="1" x14ac:dyDescent="0.2">
      <c r="A5" s="4"/>
      <c r="B5" s="113"/>
      <c r="C5" s="10">
        <f>IF(DAY(SepSun1)=1,SepSun1+1,SepSun1+8)</f>
        <v>44445</v>
      </c>
      <c r="D5" s="10">
        <f>IF(DAY(SepSun1)=1,SepSun1+2,SepSun1+9)</f>
        <v>44446</v>
      </c>
      <c r="E5" s="10">
        <f>IF(DAY(SepSun1)=1,SepSun1+3,SepSun1+10)</f>
        <v>44447</v>
      </c>
      <c r="F5" s="10">
        <f>IF(DAY(SepSun1)=1,SepSun1+4,SepSun1+11)</f>
        <v>44448</v>
      </c>
      <c r="G5" s="10">
        <f>IF(DAY(SepSun1)=1,SepSun1+5,SepSun1+12)</f>
        <v>44449</v>
      </c>
      <c r="H5" s="10">
        <f>IF(DAY(SepSun1)=1,SepSun1+6,SepSun1+13)</f>
        <v>44450</v>
      </c>
      <c r="I5" s="10">
        <f>IF(DAY(SepSun1)=1,SepSun1+7,SepSun1+14)</f>
        <v>44451</v>
      </c>
      <c r="J5" s="5"/>
      <c r="K5" s="120"/>
      <c r="L5" s="17"/>
      <c r="M5" s="70"/>
      <c r="N5" s="71"/>
    </row>
    <row r="6" spans="1:14" ht="18" customHeight="1" x14ac:dyDescent="0.2">
      <c r="A6" s="4"/>
      <c r="B6" s="113"/>
      <c r="C6" s="10">
        <f>IF(DAY(SepSun1)=1,SepSun1+8,SepSun1+15)</f>
        <v>44452</v>
      </c>
      <c r="D6" s="10">
        <f>IF(DAY(SepSun1)=1,SepSun1+9,SepSun1+16)</f>
        <v>44453</v>
      </c>
      <c r="E6" s="10">
        <f>IF(DAY(SepSun1)=1,SepSun1+10,SepSun1+17)</f>
        <v>44454</v>
      </c>
      <c r="F6" s="10">
        <f>IF(DAY(SepSun1)=1,SepSun1+11,SepSun1+18)</f>
        <v>44455</v>
      </c>
      <c r="G6" s="10">
        <f>IF(DAY(SepSun1)=1,SepSun1+12,SepSun1+19)</f>
        <v>44456</v>
      </c>
      <c r="H6" s="10">
        <f>IF(DAY(SepSun1)=1,SepSun1+13,SepSun1+20)</f>
        <v>44457</v>
      </c>
      <c r="I6" s="10">
        <f>IF(DAY(SepSun1)=1,SepSun1+14,SepSun1+21)</f>
        <v>44458</v>
      </c>
      <c r="J6" s="5"/>
      <c r="K6" s="120"/>
      <c r="L6" s="17"/>
      <c r="M6" s="70"/>
      <c r="N6" s="71"/>
    </row>
    <row r="7" spans="1:14" ht="18" customHeight="1" x14ac:dyDescent="0.2">
      <c r="A7" s="4"/>
      <c r="B7" s="113"/>
      <c r="C7" s="10">
        <f>IF(DAY(SepSun1)=1,SepSun1+15,SepSun1+22)</f>
        <v>44459</v>
      </c>
      <c r="D7" s="10">
        <f>IF(DAY(SepSun1)=1,SepSun1+16,SepSun1+23)</f>
        <v>44460</v>
      </c>
      <c r="E7" s="10">
        <f>IF(DAY(SepSun1)=1,SepSun1+17,SepSun1+24)</f>
        <v>44461</v>
      </c>
      <c r="F7" s="10">
        <f>IF(DAY(SepSun1)=1,SepSun1+18,SepSun1+25)</f>
        <v>44462</v>
      </c>
      <c r="G7" s="10">
        <f>IF(DAY(SepSun1)=1,SepSun1+19,SepSun1+26)</f>
        <v>44463</v>
      </c>
      <c r="H7" s="10">
        <f>IF(DAY(SepSun1)=1,SepSun1+20,SepSun1+27)</f>
        <v>44464</v>
      </c>
      <c r="I7" s="10">
        <f>IF(DAY(SepSun1)=1,SepSun1+21,SepSun1+28)</f>
        <v>44465</v>
      </c>
      <c r="J7" s="5"/>
      <c r="K7" s="11"/>
      <c r="L7" s="17"/>
      <c r="M7" s="70"/>
      <c r="N7" s="71"/>
    </row>
    <row r="8" spans="1:14" ht="18.75" customHeight="1" x14ac:dyDescent="0.2">
      <c r="A8" s="4"/>
      <c r="B8" s="113"/>
      <c r="C8" s="10">
        <f>IF(DAY(SepSun1)=1,SepSun1+22,SepSun1+29)</f>
        <v>44466</v>
      </c>
      <c r="D8" s="10">
        <f>IF(DAY(SepSun1)=1,SepSun1+23,SepSun1+30)</f>
        <v>44467</v>
      </c>
      <c r="E8" s="10">
        <f>IF(DAY(SepSun1)=1,SepSun1+24,SepSun1+31)</f>
        <v>44468</v>
      </c>
      <c r="F8" s="10">
        <f>IF(DAY(SepSun1)=1,SepSun1+25,SepSun1+32)</f>
        <v>44469</v>
      </c>
      <c r="G8" s="10">
        <f>IF(DAY(SepSun1)=1,SepSun1+26,SepSun1+33)</f>
        <v>44470</v>
      </c>
      <c r="H8" s="10">
        <f>IF(DAY(SepSun1)=1,SepSun1+27,SepSun1+34)</f>
        <v>44471</v>
      </c>
      <c r="I8" s="10">
        <f>IF(DAY(SepSun1)=1,SepSun1+28,SepSun1+35)</f>
        <v>44472</v>
      </c>
      <c r="J8" s="5"/>
      <c r="K8" s="11"/>
      <c r="L8" s="17"/>
      <c r="M8" s="70"/>
      <c r="N8" s="71"/>
    </row>
    <row r="9" spans="1:14" ht="18" customHeight="1" x14ac:dyDescent="0.2">
      <c r="A9" s="4"/>
      <c r="B9" s="113"/>
      <c r="C9" s="10">
        <f>IF(DAY(SepSun1)=1,SepSun1+29,SepSun1+36)</f>
        <v>44473</v>
      </c>
      <c r="D9" s="10">
        <f>IF(DAY(SepSun1)=1,SepSun1+30,SepSun1+37)</f>
        <v>44474</v>
      </c>
      <c r="E9" s="10">
        <f>IF(DAY(SepSun1)=1,SepSun1+31,SepSun1+38)</f>
        <v>44475</v>
      </c>
      <c r="F9" s="10">
        <f>IF(DAY(SepSun1)=1,SepSun1+32,SepSun1+39)</f>
        <v>44476</v>
      </c>
      <c r="G9" s="10">
        <f>IF(DAY(SepSun1)=1,SepSun1+33,SepSun1+40)</f>
        <v>44477</v>
      </c>
      <c r="H9" s="10">
        <f>IF(DAY(SepSun1)=1,SepSun1+34,SepSun1+41)</f>
        <v>44478</v>
      </c>
      <c r="I9" s="10">
        <f>IF(DAY(SepSun1)=1,SepSun1+35,SepSun1+42)</f>
        <v>44479</v>
      </c>
      <c r="J9" s="5"/>
      <c r="K9" s="12"/>
      <c r="L9" s="18"/>
      <c r="M9" s="123"/>
      <c r="N9" s="124"/>
    </row>
    <row r="10" spans="1:14" ht="18" customHeight="1" x14ac:dyDescent="0.2">
      <c r="A10" s="4"/>
      <c r="B10" s="114"/>
      <c r="C10" s="23"/>
      <c r="D10" s="23"/>
      <c r="E10" s="23"/>
      <c r="F10" s="23"/>
      <c r="G10" s="23"/>
      <c r="H10" s="23"/>
      <c r="I10" s="23"/>
      <c r="J10" s="24"/>
      <c r="K10" s="125" t="s">
        <v>6</v>
      </c>
      <c r="L10" s="16"/>
      <c r="M10" s="104"/>
      <c r="N10" s="105"/>
    </row>
    <row r="11" spans="1:14" ht="18" customHeight="1" x14ac:dyDescent="0.2">
      <c r="A11" s="4"/>
      <c r="B11" s="106" t="s">
        <v>10</v>
      </c>
      <c r="C11" s="107"/>
      <c r="D11" s="107"/>
      <c r="E11" s="107"/>
      <c r="F11" s="107"/>
      <c r="G11" s="107"/>
      <c r="H11" s="107"/>
      <c r="I11" s="107"/>
      <c r="J11" s="108"/>
      <c r="K11" s="120"/>
      <c r="L11" s="17"/>
      <c r="M11" s="70"/>
      <c r="N11" s="71"/>
    </row>
    <row r="12" spans="1:14" ht="18" customHeight="1" x14ac:dyDescent="0.2">
      <c r="A12" s="4"/>
      <c r="B12" s="106"/>
      <c r="C12" s="107"/>
      <c r="D12" s="107"/>
      <c r="E12" s="107"/>
      <c r="F12" s="107"/>
      <c r="G12" s="107"/>
      <c r="H12" s="107"/>
      <c r="I12" s="107"/>
      <c r="J12" s="108"/>
      <c r="K12" s="120"/>
      <c r="L12" s="17"/>
      <c r="M12" s="70"/>
      <c r="N12" s="71"/>
    </row>
    <row r="13" spans="1:14" ht="18" customHeight="1" x14ac:dyDescent="0.2">
      <c r="B13" s="3" t="s">
        <v>5</v>
      </c>
      <c r="C13" s="109" t="s">
        <v>6</v>
      </c>
      <c r="D13" s="110"/>
      <c r="E13" s="109" t="s">
        <v>7</v>
      </c>
      <c r="F13" s="110"/>
      <c r="G13" s="109" t="s">
        <v>8</v>
      </c>
      <c r="H13" s="110"/>
      <c r="I13" s="109" t="s">
        <v>9</v>
      </c>
      <c r="J13" s="111"/>
      <c r="K13" s="11"/>
      <c r="L13" s="17"/>
      <c r="M13" s="70"/>
      <c r="N13" s="71"/>
    </row>
    <row r="14" spans="1:14" ht="18" customHeight="1" x14ac:dyDescent="0.2">
      <c r="B14" s="8"/>
      <c r="C14" s="128"/>
      <c r="D14" s="129"/>
      <c r="E14" s="128"/>
      <c r="F14" s="129"/>
      <c r="G14" s="128"/>
      <c r="H14" s="129"/>
      <c r="I14" s="128"/>
      <c r="J14" s="130"/>
      <c r="K14" s="11"/>
      <c r="L14" s="17"/>
      <c r="M14" s="70"/>
      <c r="N14" s="71"/>
    </row>
    <row r="15" spans="1:14" ht="18" customHeight="1" x14ac:dyDescent="0.2">
      <c r="B15" s="6"/>
      <c r="C15" s="131"/>
      <c r="D15" s="132"/>
      <c r="E15" s="131"/>
      <c r="F15" s="132"/>
      <c r="G15" s="131"/>
      <c r="H15" s="132"/>
      <c r="I15" s="133"/>
      <c r="J15" s="134"/>
      <c r="K15" s="13"/>
      <c r="L15" s="19"/>
      <c r="M15" s="123"/>
      <c r="N15" s="124"/>
    </row>
    <row r="16" spans="1:14" ht="18" customHeight="1" x14ac:dyDescent="0.2">
      <c r="B16" s="8"/>
      <c r="C16" s="128"/>
      <c r="D16" s="129"/>
      <c r="E16" s="128"/>
      <c r="F16" s="129"/>
      <c r="G16" s="128"/>
      <c r="H16" s="129"/>
      <c r="I16" s="138"/>
      <c r="J16" s="139"/>
      <c r="K16" s="125" t="s">
        <v>7</v>
      </c>
      <c r="L16" s="16"/>
      <c r="M16" s="104"/>
      <c r="N16" s="105"/>
    </row>
    <row r="17" spans="2:14" ht="18" customHeight="1" x14ac:dyDescent="0.2">
      <c r="B17" s="6"/>
      <c r="C17" s="131"/>
      <c r="D17" s="132"/>
      <c r="E17" s="131"/>
      <c r="F17" s="132"/>
      <c r="G17" s="131"/>
      <c r="H17" s="132"/>
      <c r="I17" s="133"/>
      <c r="J17" s="134"/>
      <c r="K17" s="120"/>
      <c r="L17" s="17"/>
      <c r="M17" s="70"/>
      <c r="N17" s="71"/>
    </row>
    <row r="18" spans="2:14" ht="18" customHeight="1" x14ac:dyDescent="0.2">
      <c r="B18" s="9"/>
      <c r="C18" s="135"/>
      <c r="D18" s="136"/>
      <c r="E18" s="135"/>
      <c r="F18" s="136"/>
      <c r="G18" s="135"/>
      <c r="H18" s="136"/>
      <c r="I18" s="135"/>
      <c r="J18" s="137"/>
      <c r="K18" s="120"/>
      <c r="L18" s="17"/>
      <c r="M18" s="70"/>
      <c r="N18" s="71"/>
    </row>
    <row r="19" spans="2:14" ht="18" customHeight="1" x14ac:dyDescent="0.2">
      <c r="B19" s="6"/>
      <c r="C19" s="131"/>
      <c r="D19" s="132"/>
      <c r="E19" s="131"/>
      <c r="F19" s="132"/>
      <c r="G19" s="131"/>
      <c r="H19" s="132"/>
      <c r="I19" s="133"/>
      <c r="J19" s="134"/>
      <c r="K19" s="11"/>
      <c r="L19" s="17"/>
      <c r="M19" s="70"/>
      <c r="N19" s="71"/>
    </row>
    <row r="20" spans="2:14" ht="18" customHeight="1" x14ac:dyDescent="0.2">
      <c r="B20" s="8"/>
      <c r="C20" s="128"/>
      <c r="D20" s="129"/>
      <c r="E20" s="128"/>
      <c r="F20" s="129"/>
      <c r="G20" s="128"/>
      <c r="H20" s="129"/>
      <c r="I20" s="128"/>
      <c r="J20" s="130"/>
      <c r="K20" s="11"/>
      <c r="L20" s="17"/>
      <c r="M20" s="70"/>
      <c r="N20" s="71"/>
    </row>
    <row r="21" spans="2:14" ht="18" customHeight="1" x14ac:dyDescent="0.2">
      <c r="B21" s="6"/>
      <c r="C21" s="131"/>
      <c r="D21" s="132"/>
      <c r="E21" s="131"/>
      <c r="F21" s="132"/>
      <c r="G21" s="131"/>
      <c r="H21" s="132"/>
      <c r="I21" s="140"/>
      <c r="J21" s="141"/>
      <c r="K21" s="13"/>
      <c r="L21" s="19"/>
      <c r="M21" s="123"/>
      <c r="N21" s="124"/>
    </row>
    <row r="22" spans="2:14" ht="18" customHeight="1" x14ac:dyDescent="0.2">
      <c r="B22" s="8"/>
      <c r="C22" s="128"/>
      <c r="D22" s="129"/>
      <c r="E22" s="128"/>
      <c r="F22" s="129"/>
      <c r="G22" s="128"/>
      <c r="H22" s="129"/>
      <c r="I22" s="128"/>
      <c r="J22" s="130"/>
      <c r="K22" s="125" t="s">
        <v>8</v>
      </c>
      <c r="L22" s="16"/>
      <c r="M22" s="104"/>
      <c r="N22" s="105"/>
    </row>
    <row r="23" spans="2:14" ht="18" customHeight="1" x14ac:dyDescent="0.2">
      <c r="B23" s="6"/>
      <c r="C23" s="131"/>
      <c r="D23" s="132"/>
      <c r="E23" s="131"/>
      <c r="F23" s="132"/>
      <c r="G23" s="131"/>
      <c r="H23" s="132"/>
      <c r="I23" s="133"/>
      <c r="J23" s="134"/>
      <c r="K23" s="120"/>
      <c r="L23" s="17"/>
      <c r="M23" s="70"/>
      <c r="N23" s="71"/>
    </row>
    <row r="24" spans="2:14" ht="18" customHeight="1" x14ac:dyDescent="0.2">
      <c r="B24" s="8"/>
      <c r="C24" s="128"/>
      <c r="D24" s="129"/>
      <c r="E24" s="128"/>
      <c r="F24" s="129"/>
      <c r="G24" s="128"/>
      <c r="H24" s="129"/>
      <c r="I24" s="128"/>
      <c r="J24" s="130"/>
      <c r="K24" s="120"/>
      <c r="L24" s="17"/>
      <c r="M24" s="70"/>
      <c r="N24" s="71"/>
    </row>
    <row r="25" spans="2:14" ht="18" customHeight="1" x14ac:dyDescent="0.2">
      <c r="B25" s="6"/>
      <c r="C25" s="131"/>
      <c r="D25" s="132"/>
      <c r="E25" s="131"/>
      <c r="F25" s="132"/>
      <c r="G25" s="131"/>
      <c r="H25" s="132"/>
      <c r="I25" s="133"/>
      <c r="J25" s="134"/>
      <c r="K25" s="120"/>
      <c r="L25" s="17"/>
      <c r="M25" s="70"/>
      <c r="N25" s="71"/>
    </row>
    <row r="26" spans="2:14" ht="18" customHeight="1" x14ac:dyDescent="0.2">
      <c r="B26" s="8"/>
      <c r="C26" s="128"/>
      <c r="D26" s="129"/>
      <c r="E26" s="128"/>
      <c r="F26" s="129"/>
      <c r="G26" s="128"/>
      <c r="H26" s="129"/>
      <c r="I26" s="128"/>
      <c r="J26" s="130"/>
      <c r="K26" s="11"/>
      <c r="L26" s="17"/>
      <c r="M26" s="70"/>
      <c r="N26" s="71"/>
    </row>
    <row r="27" spans="2:14" ht="18" customHeight="1" x14ac:dyDescent="0.2">
      <c r="B27" s="6"/>
      <c r="C27" s="131"/>
      <c r="D27" s="132"/>
      <c r="E27" s="131"/>
      <c r="F27" s="132"/>
      <c r="G27" s="131"/>
      <c r="H27" s="132"/>
      <c r="I27" s="133"/>
      <c r="J27" s="134"/>
      <c r="K27" s="13"/>
      <c r="L27" s="19"/>
      <c r="M27" s="123"/>
      <c r="N27" s="124"/>
    </row>
    <row r="28" spans="2:14" ht="18" customHeight="1" x14ac:dyDescent="0.2">
      <c r="B28" s="8"/>
      <c r="C28" s="128"/>
      <c r="D28" s="129"/>
      <c r="E28" s="128"/>
      <c r="F28" s="129"/>
      <c r="G28" s="128"/>
      <c r="H28" s="129"/>
      <c r="I28" s="128"/>
      <c r="J28" s="130"/>
      <c r="K28" s="125" t="s">
        <v>9</v>
      </c>
      <c r="L28" s="16"/>
      <c r="M28" s="104"/>
      <c r="N28" s="105"/>
    </row>
    <row r="29" spans="2:14" ht="18" customHeight="1" x14ac:dyDescent="0.2">
      <c r="B29" s="6"/>
      <c r="C29" s="131"/>
      <c r="D29" s="132"/>
      <c r="E29" s="131"/>
      <c r="F29" s="132"/>
      <c r="G29" s="131"/>
      <c r="H29" s="132"/>
      <c r="I29" s="131"/>
      <c r="J29" s="144"/>
      <c r="K29" s="120"/>
      <c r="L29" s="17"/>
      <c r="M29" s="70"/>
      <c r="N29" s="71"/>
    </row>
    <row r="30" spans="2:14" ht="18" customHeight="1" x14ac:dyDescent="0.2">
      <c r="B30" s="8"/>
      <c r="C30" s="128"/>
      <c r="D30" s="129"/>
      <c r="E30" s="128"/>
      <c r="F30" s="129"/>
      <c r="G30" s="128"/>
      <c r="H30" s="129"/>
      <c r="I30" s="142"/>
      <c r="J30" s="143"/>
      <c r="K30" s="120"/>
      <c r="L30" s="17"/>
      <c r="M30" s="70"/>
      <c r="N30" s="71"/>
    </row>
    <row r="31" spans="2:14" ht="18" customHeight="1" x14ac:dyDescent="0.2">
      <c r="B31" s="6"/>
      <c r="C31" s="131"/>
      <c r="D31" s="132"/>
      <c r="E31" s="131"/>
      <c r="F31" s="132"/>
      <c r="G31" s="131"/>
      <c r="H31" s="132"/>
      <c r="I31" s="131"/>
      <c r="J31" s="144"/>
      <c r="K31" s="14"/>
      <c r="L31" s="17"/>
      <c r="M31" s="70"/>
      <c r="N31" s="71"/>
    </row>
    <row r="32" spans="2:14" ht="18" customHeight="1" x14ac:dyDescent="0.2">
      <c r="B32" s="8"/>
      <c r="C32" s="128"/>
      <c r="D32" s="129"/>
      <c r="E32" s="128"/>
      <c r="F32" s="129"/>
      <c r="G32" s="128"/>
      <c r="H32" s="129"/>
      <c r="I32" s="138"/>
      <c r="J32" s="139"/>
      <c r="K32" s="14"/>
      <c r="L32" s="17"/>
      <c r="M32" s="70"/>
      <c r="N32" s="71"/>
    </row>
    <row r="33" spans="2:14" ht="18" customHeight="1" x14ac:dyDescent="0.2">
      <c r="B33" s="7"/>
      <c r="C33" s="145"/>
      <c r="D33" s="146"/>
      <c r="E33" s="145"/>
      <c r="F33" s="146"/>
      <c r="G33" s="145"/>
      <c r="H33" s="146"/>
      <c r="I33" s="147"/>
      <c r="J33" s="148"/>
      <c r="K33" s="15"/>
      <c r="L33" s="20"/>
      <c r="M33" s="149"/>
      <c r="N33" s="15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VLOOKUP(DAY(C4),joursdeaffectation,1,FALSE)=DAY(C4)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B59F4C6-0242-4391-9E5C-DCCC78ECB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37</vt:i4>
      </vt:variant>
    </vt:vector>
  </HeadingPairs>
  <TitlesOfParts>
    <vt:vector size="49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Annéecivile</vt:lpstr>
      <vt:lpstr>Août!ImportantesdetableDates</vt:lpstr>
      <vt:lpstr>Avril!ImportantesdetableDates</vt:lpstr>
      <vt:lpstr>Décembre!ImportantesdetableDates</vt:lpstr>
      <vt:lpstr>Février!ImportantesdetableDates</vt:lpstr>
      <vt:lpstr>Juillet!ImportantesdetableDates</vt:lpstr>
      <vt:lpstr>Juin!ImportantesdetableDates</vt:lpstr>
      <vt:lpstr>Mai!ImportantesdetableDates</vt:lpstr>
      <vt:lpstr>Mars!ImportantesdetableDates</vt:lpstr>
      <vt:lpstr>Novembre!ImportantesdetableDates</vt:lpstr>
      <vt:lpstr>Octobre!ImportantesdetableDates</vt:lpstr>
      <vt:lpstr>Septembre!ImportantesdetableDates</vt:lpstr>
      <vt:lpstr>ImportantesdetableDates</vt:lpstr>
      <vt:lpstr>Août!joursdeaffectation</vt:lpstr>
      <vt:lpstr>Avril!joursdeaffectation</vt:lpstr>
      <vt:lpstr>Décembre!joursdeaffectation</vt:lpstr>
      <vt:lpstr>Février!joursdeaffectation</vt:lpstr>
      <vt:lpstr>Juillet!joursdeaffectation</vt:lpstr>
      <vt:lpstr>Juin!joursdeaffectation</vt:lpstr>
      <vt:lpstr>Mai!joursdeaffectation</vt:lpstr>
      <vt:lpstr>Mars!joursdeaffectation</vt:lpstr>
      <vt:lpstr>Novembre!joursdeaffectation</vt:lpstr>
      <vt:lpstr>Octobre!joursdeaffectation</vt:lpstr>
      <vt:lpstr>Septembre!joursdeaffectation</vt:lpstr>
      <vt:lpstr>joursdeaffectation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2017-10-12T12:47:43Z</dcterms:created>
  <dcterms:modified xsi:type="dcterms:W3CDTF">2021-03-09T18:56:07Z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TC031076639991</vt:lpwstr>
  </property>
</Properties>
</file>